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150" yWindow="1725" windowWidth="20655" windowHeight="12765"/>
  </bookViews>
  <sheets>
    <sheet name="갑지" sheetId="8" r:id="rId1"/>
    <sheet name="원가계산서" sheetId="7" r:id="rId2"/>
    <sheet name="집계표" sheetId="6" r:id="rId3"/>
    <sheet name="내역서" sheetId="5" r:id="rId4"/>
    <sheet name="일위대가목록" sheetId="4" r:id="rId5"/>
    <sheet name="일위대가표" sheetId="3" r:id="rId6"/>
    <sheet name="단가대비표" sheetId="2" r:id="rId7"/>
    <sheet name="Sheet1" sheetId="1" r:id="rId8"/>
  </sheets>
  <definedNames>
    <definedName name="_xlnm.Print_Area" localSheetId="3">내역서!$A$1:$M$68</definedName>
    <definedName name="_xlnm.Print_Area" localSheetId="6">단가대비표!$A$1:$P$20</definedName>
    <definedName name="_xlnm.Print_Area" localSheetId="1">원가계산서!$A$1:$F$37</definedName>
    <definedName name="_xlnm.Print_Area" localSheetId="4">일위대가목록!$A$1:$N$20</definedName>
    <definedName name="_xlnm.Print_Area" localSheetId="5">일위대가표!$A$1:$M$52</definedName>
    <definedName name="_xlnm.Print_Area" localSheetId="2">집계표!$A$1:$L$20</definedName>
    <definedName name="_xlnm.Print_Titles" localSheetId="3">내역서!$1:$4</definedName>
    <definedName name="_xlnm.Print_Titles" localSheetId="6">단가대비표!$1:$4</definedName>
    <definedName name="_xlnm.Print_Titles" localSheetId="1">원가계산서!$1:$4</definedName>
    <definedName name="_xlnm.Print_Titles" localSheetId="4">일위대가목록!$1:$4</definedName>
    <definedName name="_xlnm.Print_Titles" localSheetId="5">일위대가표!$1:$4</definedName>
    <definedName name="_xlnm.Print_Titles" localSheetId="2">집계표!$1:$4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6" i="5" l="1"/>
  <c r="F56" i="5"/>
  <c r="L56" i="5" s="1"/>
  <c r="K39" i="5"/>
  <c r="F39" i="5"/>
  <c r="L39" i="5" s="1"/>
  <c r="D32" i="7"/>
  <c r="D30" i="7"/>
  <c r="D29" i="7"/>
  <c r="I23" i="7"/>
  <c r="D20" i="7"/>
  <c r="D14" i="7"/>
  <c r="D13" i="7"/>
  <c r="D10" i="7"/>
  <c r="AV20" i="6"/>
  <c r="AW20" i="6"/>
  <c r="H68" i="5"/>
  <c r="F8" i="6" s="1"/>
  <c r="G8" i="6" s="1"/>
  <c r="J68" i="5"/>
  <c r="H8" i="6" s="1"/>
  <c r="I8" i="6" s="1"/>
  <c r="AF68" i="5"/>
  <c r="AE8" i="6" s="1"/>
  <c r="AG68" i="5"/>
  <c r="AF8" i="6" s="1"/>
  <c r="AV68" i="5"/>
  <c r="AU8" i="6" s="1"/>
  <c r="AW68" i="5"/>
  <c r="AX68" i="5"/>
  <c r="H55" i="5"/>
  <c r="J55" i="5"/>
  <c r="O55" i="5"/>
  <c r="R55" i="5"/>
  <c r="S55" i="5"/>
  <c r="T55" i="5"/>
  <c r="U55" i="5"/>
  <c r="V55" i="5"/>
  <c r="W55" i="5"/>
  <c r="X55" i="5"/>
  <c r="Y55" i="5"/>
  <c r="Y68" i="5" s="1"/>
  <c r="X8" i="6" s="1"/>
  <c r="Z55" i="5"/>
  <c r="AA55" i="5"/>
  <c r="AB55" i="5"/>
  <c r="AC55" i="5"/>
  <c r="AD55" i="5"/>
  <c r="AE55" i="5"/>
  <c r="AF55" i="5"/>
  <c r="AG55" i="5"/>
  <c r="AH55" i="5"/>
  <c r="AH68" i="5" s="1"/>
  <c r="AG8" i="6" s="1"/>
  <c r="AI55" i="5"/>
  <c r="AJ55" i="5"/>
  <c r="AK55" i="5"/>
  <c r="AL55" i="5"/>
  <c r="AM55" i="5"/>
  <c r="AN55" i="5"/>
  <c r="AO55" i="5"/>
  <c r="AO68" i="5" s="1"/>
  <c r="AN8" i="6" s="1"/>
  <c r="AP55" i="5"/>
  <c r="AQ55" i="5"/>
  <c r="AR55" i="5"/>
  <c r="AS55" i="5"/>
  <c r="AT55" i="5"/>
  <c r="AU55" i="5"/>
  <c r="H54" i="5"/>
  <c r="J54" i="5"/>
  <c r="O54" i="5"/>
  <c r="R54" i="5"/>
  <c r="R68" i="5" s="1"/>
  <c r="Q8" i="6" s="1"/>
  <c r="S54" i="5"/>
  <c r="S68" i="5" s="1"/>
  <c r="R8" i="6" s="1"/>
  <c r="T54" i="5"/>
  <c r="T68" i="5" s="1"/>
  <c r="S8" i="6" s="1"/>
  <c r="U54" i="5"/>
  <c r="U68" i="5" s="1"/>
  <c r="T8" i="6" s="1"/>
  <c r="V54" i="5"/>
  <c r="V68" i="5" s="1"/>
  <c r="U8" i="6" s="1"/>
  <c r="W54" i="5"/>
  <c r="W68" i="5" s="1"/>
  <c r="V8" i="6" s="1"/>
  <c r="X54" i="5"/>
  <c r="X68" i="5" s="1"/>
  <c r="W8" i="6" s="1"/>
  <c r="Y54" i="5"/>
  <c r="Z54" i="5"/>
  <c r="Z68" i="5" s="1"/>
  <c r="Y8" i="6" s="1"/>
  <c r="AA54" i="5"/>
  <c r="AA68" i="5" s="1"/>
  <c r="Z8" i="6" s="1"/>
  <c r="AB54" i="5"/>
  <c r="AB68" i="5" s="1"/>
  <c r="AA8" i="6" s="1"/>
  <c r="AC54" i="5"/>
  <c r="AC68" i="5" s="1"/>
  <c r="AB8" i="6" s="1"/>
  <c r="AD54" i="5"/>
  <c r="AD68" i="5" s="1"/>
  <c r="AC8" i="6" s="1"/>
  <c r="AE54" i="5"/>
  <c r="AE68" i="5" s="1"/>
  <c r="AD8" i="6" s="1"/>
  <c r="AF54" i="5"/>
  <c r="AG54" i="5"/>
  <c r="AH54" i="5"/>
  <c r="AI54" i="5"/>
  <c r="AI68" i="5" s="1"/>
  <c r="AH8" i="6" s="1"/>
  <c r="AJ54" i="5"/>
  <c r="AJ68" i="5" s="1"/>
  <c r="AI8" i="6" s="1"/>
  <c r="AK54" i="5"/>
  <c r="AK68" i="5" s="1"/>
  <c r="AJ8" i="6" s="1"/>
  <c r="AL54" i="5"/>
  <c r="AL68" i="5" s="1"/>
  <c r="AK8" i="6" s="1"/>
  <c r="AM54" i="5"/>
  <c r="AM68" i="5" s="1"/>
  <c r="AL8" i="6" s="1"/>
  <c r="AN54" i="5"/>
  <c r="AN68" i="5" s="1"/>
  <c r="AM8" i="6" s="1"/>
  <c r="AO54" i="5"/>
  <c r="AP54" i="5"/>
  <c r="AP68" i="5" s="1"/>
  <c r="AO8" i="6" s="1"/>
  <c r="AQ54" i="5"/>
  <c r="AQ68" i="5" s="1"/>
  <c r="AP8" i="6" s="1"/>
  <c r="AR54" i="5"/>
  <c r="AR68" i="5" s="1"/>
  <c r="AQ8" i="6" s="1"/>
  <c r="AS54" i="5"/>
  <c r="AS68" i="5" s="1"/>
  <c r="AR8" i="6" s="1"/>
  <c r="AT54" i="5"/>
  <c r="AT68" i="5" s="1"/>
  <c r="AS8" i="6" s="1"/>
  <c r="AU54" i="5"/>
  <c r="AU68" i="5" s="1"/>
  <c r="AT8" i="6" s="1"/>
  <c r="S52" i="5"/>
  <c r="R7" i="6" s="1"/>
  <c r="T52" i="5"/>
  <c r="S7" i="6" s="1"/>
  <c r="V52" i="5"/>
  <c r="U7" i="6" s="1"/>
  <c r="W52" i="5"/>
  <c r="V7" i="6" s="1"/>
  <c r="AD52" i="5"/>
  <c r="AC7" i="6" s="1"/>
  <c r="AG52" i="5"/>
  <c r="AF7" i="6" s="1"/>
  <c r="AH52" i="5"/>
  <c r="AG7" i="6" s="1"/>
  <c r="AI52" i="5"/>
  <c r="AH7" i="6" s="1"/>
  <c r="AJ52" i="5"/>
  <c r="AI7" i="6" s="1"/>
  <c r="AL52" i="5"/>
  <c r="AK7" i="6" s="1"/>
  <c r="AM52" i="5"/>
  <c r="AL7" i="6" s="1"/>
  <c r="AT52" i="5"/>
  <c r="AS7" i="6" s="1"/>
  <c r="AV52" i="5"/>
  <c r="AU7" i="6" s="1"/>
  <c r="AW52" i="5"/>
  <c r="AX52" i="5"/>
  <c r="O38" i="5"/>
  <c r="S38" i="5"/>
  <c r="T38" i="5"/>
  <c r="U38" i="5"/>
  <c r="U52" i="5" s="1"/>
  <c r="T7" i="6" s="1"/>
  <c r="V38" i="5"/>
  <c r="W38" i="5"/>
  <c r="X38" i="5"/>
  <c r="X52" i="5" s="1"/>
  <c r="W7" i="6" s="1"/>
  <c r="Y38" i="5"/>
  <c r="Y52" i="5" s="1"/>
  <c r="X7" i="6" s="1"/>
  <c r="Z38" i="5"/>
  <c r="Z52" i="5" s="1"/>
  <c r="Y7" i="6" s="1"/>
  <c r="AA38" i="5"/>
  <c r="AA52" i="5" s="1"/>
  <c r="Z7" i="6" s="1"/>
  <c r="AB38" i="5"/>
  <c r="AB52" i="5" s="1"/>
  <c r="AA7" i="6" s="1"/>
  <c r="AC38" i="5"/>
  <c r="AC52" i="5" s="1"/>
  <c r="AB7" i="6" s="1"/>
  <c r="AD38" i="5"/>
  <c r="AE38" i="5"/>
  <c r="AE52" i="5" s="1"/>
  <c r="AD7" i="6" s="1"/>
  <c r="AF38" i="5"/>
  <c r="AF52" i="5" s="1"/>
  <c r="AE7" i="6" s="1"/>
  <c r="AG38" i="5"/>
  <c r="AH38" i="5"/>
  <c r="AI38" i="5"/>
  <c r="AJ38" i="5"/>
  <c r="AK38" i="5"/>
  <c r="AK52" i="5" s="1"/>
  <c r="AJ7" i="6" s="1"/>
  <c r="AL38" i="5"/>
  <c r="AM38" i="5"/>
  <c r="AN38" i="5"/>
  <c r="AN52" i="5" s="1"/>
  <c r="AM7" i="6" s="1"/>
  <c r="AO38" i="5"/>
  <c r="AO52" i="5" s="1"/>
  <c r="AN7" i="6" s="1"/>
  <c r="AP38" i="5"/>
  <c r="AP52" i="5" s="1"/>
  <c r="AO7" i="6" s="1"/>
  <c r="AQ38" i="5"/>
  <c r="AQ52" i="5" s="1"/>
  <c r="AP7" i="6" s="1"/>
  <c r="AR38" i="5"/>
  <c r="AR52" i="5" s="1"/>
  <c r="AQ7" i="6" s="1"/>
  <c r="AS38" i="5"/>
  <c r="AS52" i="5" s="1"/>
  <c r="AR7" i="6" s="1"/>
  <c r="AT38" i="5"/>
  <c r="AU38" i="5"/>
  <c r="AU52" i="5" s="1"/>
  <c r="AT7" i="6" s="1"/>
  <c r="AV36" i="5"/>
  <c r="AU6" i="6" s="1"/>
  <c r="AW36" i="5"/>
  <c r="AX36" i="5"/>
  <c r="H28" i="5"/>
  <c r="J28" i="5"/>
  <c r="O28" i="5"/>
  <c r="R28" i="5"/>
  <c r="S28" i="5"/>
  <c r="T28" i="5"/>
  <c r="U28" i="5"/>
  <c r="V28" i="5"/>
  <c r="W28" i="5"/>
  <c r="X28" i="5"/>
  <c r="Y28" i="5"/>
  <c r="Z28" i="5"/>
  <c r="AA28" i="5"/>
  <c r="AB28" i="5"/>
  <c r="AC28" i="5"/>
  <c r="AD28" i="5"/>
  <c r="AE28" i="5"/>
  <c r="AF28" i="5"/>
  <c r="AG28" i="5"/>
  <c r="AH28" i="5"/>
  <c r="AI28" i="5"/>
  <c r="AJ28" i="5"/>
  <c r="AK28" i="5"/>
  <c r="AL28" i="5"/>
  <c r="AM28" i="5"/>
  <c r="AN28" i="5"/>
  <c r="AO28" i="5"/>
  <c r="AP28" i="5"/>
  <c r="AQ28" i="5"/>
  <c r="AR28" i="5"/>
  <c r="AS28" i="5"/>
  <c r="AT28" i="5"/>
  <c r="AU28" i="5"/>
  <c r="O27" i="5"/>
  <c r="S27" i="5"/>
  <c r="T27" i="5"/>
  <c r="U27" i="5"/>
  <c r="V27" i="5"/>
  <c r="W27" i="5"/>
  <c r="X27" i="5"/>
  <c r="Y27" i="5"/>
  <c r="Z27" i="5"/>
  <c r="AA27" i="5"/>
  <c r="AB27" i="5"/>
  <c r="AC27" i="5"/>
  <c r="AD27" i="5"/>
  <c r="AE27" i="5"/>
  <c r="AF27" i="5"/>
  <c r="AG27" i="5"/>
  <c r="AH27" i="5"/>
  <c r="AI27" i="5"/>
  <c r="AJ27" i="5"/>
  <c r="AK27" i="5"/>
  <c r="AL27" i="5"/>
  <c r="AM27" i="5"/>
  <c r="AN27" i="5"/>
  <c r="AO27" i="5"/>
  <c r="AP27" i="5"/>
  <c r="AQ27" i="5"/>
  <c r="AR27" i="5"/>
  <c r="AS27" i="5"/>
  <c r="AT27" i="5"/>
  <c r="AU27" i="5"/>
  <c r="O26" i="5"/>
  <c r="S26" i="5"/>
  <c r="T26" i="5"/>
  <c r="U26" i="5"/>
  <c r="V26" i="5"/>
  <c r="W26" i="5"/>
  <c r="X26" i="5"/>
  <c r="Y26" i="5"/>
  <c r="Z26" i="5"/>
  <c r="AA26" i="5"/>
  <c r="AB26" i="5"/>
  <c r="AC26" i="5"/>
  <c r="AD26" i="5"/>
  <c r="AE26" i="5"/>
  <c r="AF26" i="5"/>
  <c r="AG26" i="5"/>
  <c r="AH26" i="5"/>
  <c r="AI26" i="5"/>
  <c r="AJ26" i="5"/>
  <c r="AK26" i="5"/>
  <c r="AL26" i="5"/>
  <c r="AM26" i="5"/>
  <c r="AN26" i="5"/>
  <c r="AO26" i="5"/>
  <c r="AP26" i="5"/>
  <c r="AQ26" i="5"/>
  <c r="AR26" i="5"/>
  <c r="AS26" i="5"/>
  <c r="AT26" i="5"/>
  <c r="AU26" i="5"/>
  <c r="G25" i="5"/>
  <c r="H25" i="5" s="1"/>
  <c r="I25" i="5"/>
  <c r="J25" i="5" s="1"/>
  <c r="R25" i="5" s="1"/>
  <c r="O25" i="5"/>
  <c r="S25" i="5"/>
  <c r="T25" i="5"/>
  <c r="U25" i="5"/>
  <c r="V25" i="5"/>
  <c r="W25" i="5"/>
  <c r="X25" i="5"/>
  <c r="Y25" i="5"/>
  <c r="Z25" i="5"/>
  <c r="AA25" i="5"/>
  <c r="AB25" i="5"/>
  <c r="AC25" i="5"/>
  <c r="AD25" i="5"/>
  <c r="AE25" i="5"/>
  <c r="AF25" i="5"/>
  <c r="AG25" i="5"/>
  <c r="AH25" i="5"/>
  <c r="AI25" i="5"/>
  <c r="AJ25" i="5"/>
  <c r="AK25" i="5"/>
  <c r="AL25" i="5"/>
  <c r="AM25" i="5"/>
  <c r="AN25" i="5"/>
  <c r="AO25" i="5"/>
  <c r="AP25" i="5"/>
  <c r="AQ25" i="5"/>
  <c r="AR25" i="5"/>
  <c r="AS25" i="5"/>
  <c r="AT25" i="5"/>
  <c r="AU25" i="5"/>
  <c r="H24" i="5"/>
  <c r="J24" i="5"/>
  <c r="O24" i="5"/>
  <c r="R24" i="5"/>
  <c r="S24" i="5"/>
  <c r="T24" i="5"/>
  <c r="U24" i="5"/>
  <c r="V24" i="5"/>
  <c r="W24" i="5"/>
  <c r="X24" i="5"/>
  <c r="Y24" i="5"/>
  <c r="Z24" i="5"/>
  <c r="AA24" i="5"/>
  <c r="AB24" i="5"/>
  <c r="AC24" i="5"/>
  <c r="AD24" i="5"/>
  <c r="AE24" i="5"/>
  <c r="AF24" i="5"/>
  <c r="AG24" i="5"/>
  <c r="AH24" i="5"/>
  <c r="AI24" i="5"/>
  <c r="AJ24" i="5"/>
  <c r="AK24" i="5"/>
  <c r="AL24" i="5"/>
  <c r="AM24" i="5"/>
  <c r="AN24" i="5"/>
  <c r="AO24" i="5"/>
  <c r="AP24" i="5"/>
  <c r="AQ24" i="5"/>
  <c r="AR24" i="5"/>
  <c r="AS24" i="5"/>
  <c r="AT24" i="5"/>
  <c r="AU24" i="5"/>
  <c r="O23" i="5"/>
  <c r="S23" i="5"/>
  <c r="T23" i="5"/>
  <c r="U23" i="5"/>
  <c r="V23" i="5"/>
  <c r="W23" i="5"/>
  <c r="X23" i="5"/>
  <c r="Y23" i="5"/>
  <c r="Z23" i="5"/>
  <c r="AA23" i="5"/>
  <c r="AB23" i="5"/>
  <c r="AC23" i="5"/>
  <c r="AD23" i="5"/>
  <c r="AE23" i="5"/>
  <c r="AF23" i="5"/>
  <c r="AG23" i="5"/>
  <c r="AH23" i="5"/>
  <c r="AI23" i="5"/>
  <c r="AJ23" i="5"/>
  <c r="AK23" i="5"/>
  <c r="AL23" i="5"/>
  <c r="AM23" i="5"/>
  <c r="AN23" i="5"/>
  <c r="AO23" i="5"/>
  <c r="AP23" i="5"/>
  <c r="AQ23" i="5"/>
  <c r="AR23" i="5"/>
  <c r="AS23" i="5"/>
  <c r="AT23" i="5"/>
  <c r="AU23" i="5"/>
  <c r="O22" i="5"/>
  <c r="S22" i="5"/>
  <c r="S36" i="5" s="1"/>
  <c r="R6" i="6" s="1"/>
  <c r="T22" i="5"/>
  <c r="T36" i="5" s="1"/>
  <c r="S6" i="6" s="1"/>
  <c r="U22" i="5"/>
  <c r="U36" i="5" s="1"/>
  <c r="T6" i="6" s="1"/>
  <c r="V22" i="5"/>
  <c r="V36" i="5" s="1"/>
  <c r="U6" i="6" s="1"/>
  <c r="W22" i="5"/>
  <c r="W36" i="5" s="1"/>
  <c r="V6" i="6" s="1"/>
  <c r="X22" i="5"/>
  <c r="X36" i="5" s="1"/>
  <c r="W6" i="6" s="1"/>
  <c r="Y22" i="5"/>
  <c r="Y36" i="5" s="1"/>
  <c r="X6" i="6" s="1"/>
  <c r="Z22" i="5"/>
  <c r="Z36" i="5" s="1"/>
  <c r="Y6" i="6" s="1"/>
  <c r="AA22" i="5"/>
  <c r="AA36" i="5" s="1"/>
  <c r="Z6" i="6" s="1"/>
  <c r="AB22" i="5"/>
  <c r="AB36" i="5" s="1"/>
  <c r="AA6" i="6" s="1"/>
  <c r="AC22" i="5"/>
  <c r="AC36" i="5" s="1"/>
  <c r="AB6" i="6" s="1"/>
  <c r="AD22" i="5"/>
  <c r="AD36" i="5" s="1"/>
  <c r="AC6" i="6" s="1"/>
  <c r="AE22" i="5"/>
  <c r="AE36" i="5" s="1"/>
  <c r="AD6" i="6" s="1"/>
  <c r="AF22" i="5"/>
  <c r="AF36" i="5" s="1"/>
  <c r="AE6" i="6" s="1"/>
  <c r="AG22" i="5"/>
  <c r="AG36" i="5" s="1"/>
  <c r="AF6" i="6" s="1"/>
  <c r="AH22" i="5"/>
  <c r="AH36" i="5" s="1"/>
  <c r="AG6" i="6" s="1"/>
  <c r="AI22" i="5"/>
  <c r="AI36" i="5" s="1"/>
  <c r="AH6" i="6" s="1"/>
  <c r="AJ22" i="5"/>
  <c r="AJ36" i="5" s="1"/>
  <c r="AI6" i="6" s="1"/>
  <c r="AK22" i="5"/>
  <c r="AK36" i="5" s="1"/>
  <c r="AJ6" i="6" s="1"/>
  <c r="AL22" i="5"/>
  <c r="AL36" i="5" s="1"/>
  <c r="AK6" i="6" s="1"/>
  <c r="AM22" i="5"/>
  <c r="AM36" i="5" s="1"/>
  <c r="AL6" i="6" s="1"/>
  <c r="AN22" i="5"/>
  <c r="AN36" i="5" s="1"/>
  <c r="AM6" i="6" s="1"/>
  <c r="AO22" i="5"/>
  <c r="AO36" i="5" s="1"/>
  <c r="AN6" i="6" s="1"/>
  <c r="AP22" i="5"/>
  <c r="AP36" i="5" s="1"/>
  <c r="AO6" i="6" s="1"/>
  <c r="AQ22" i="5"/>
  <c r="AQ36" i="5" s="1"/>
  <c r="AP6" i="6" s="1"/>
  <c r="AR22" i="5"/>
  <c r="AR36" i="5" s="1"/>
  <c r="AQ6" i="6" s="1"/>
  <c r="AS22" i="5"/>
  <c r="AS36" i="5" s="1"/>
  <c r="AR6" i="6" s="1"/>
  <c r="AT22" i="5"/>
  <c r="AT36" i="5" s="1"/>
  <c r="AS6" i="6" s="1"/>
  <c r="AU22" i="5"/>
  <c r="AU36" i="5" s="1"/>
  <c r="AT6" i="6" s="1"/>
  <c r="Z20" i="5"/>
  <c r="Y5" i="6" s="1"/>
  <c r="AA20" i="5"/>
  <c r="Z5" i="6" s="1"/>
  <c r="AB20" i="5"/>
  <c r="AA5" i="6" s="1"/>
  <c r="AA20" i="6" s="1"/>
  <c r="E34" i="7" s="1"/>
  <c r="I34" i="7" s="1"/>
  <c r="AC20" i="5"/>
  <c r="AB5" i="6" s="1"/>
  <c r="AD20" i="5"/>
  <c r="AC5" i="6" s="1"/>
  <c r="AF20" i="5"/>
  <c r="AE5" i="6" s="1"/>
  <c r="AG20" i="5"/>
  <c r="AF5" i="6" s="1"/>
  <c r="AF20" i="6" s="1"/>
  <c r="AP20" i="5"/>
  <c r="AO5" i="6" s="1"/>
  <c r="AQ20" i="5"/>
  <c r="AP5" i="6" s="1"/>
  <c r="AR20" i="5"/>
  <c r="AQ5" i="6" s="1"/>
  <c r="AS20" i="5"/>
  <c r="AR5" i="6" s="1"/>
  <c r="AT20" i="5"/>
  <c r="AS5" i="6" s="1"/>
  <c r="AV20" i="5"/>
  <c r="AU5" i="6" s="1"/>
  <c r="AU20" i="6" s="1"/>
  <c r="AW20" i="5"/>
  <c r="AX20" i="5"/>
  <c r="O6" i="5"/>
  <c r="S6" i="5"/>
  <c r="S20" i="5" s="1"/>
  <c r="R5" i="6" s="1"/>
  <c r="R20" i="6" s="1"/>
  <c r="T6" i="5"/>
  <c r="T20" i="5" s="1"/>
  <c r="S5" i="6" s="1"/>
  <c r="S20" i="6" s="1"/>
  <c r="E7" i="7" s="1"/>
  <c r="I7" i="7" s="1"/>
  <c r="U6" i="5"/>
  <c r="U20" i="5" s="1"/>
  <c r="T5" i="6" s="1"/>
  <c r="T20" i="6" s="1"/>
  <c r="V6" i="5"/>
  <c r="V20" i="5" s="1"/>
  <c r="U5" i="6" s="1"/>
  <c r="W6" i="5"/>
  <c r="W20" i="5" s="1"/>
  <c r="V5" i="6" s="1"/>
  <c r="X6" i="5"/>
  <c r="X20" i="5" s="1"/>
  <c r="W5" i="6" s="1"/>
  <c r="Y6" i="5"/>
  <c r="Y20" i="5" s="1"/>
  <c r="X5" i="6" s="1"/>
  <c r="Z6" i="5"/>
  <c r="AA6" i="5"/>
  <c r="AB6" i="5"/>
  <c r="AC6" i="5"/>
  <c r="AD6" i="5"/>
  <c r="AE6" i="5"/>
  <c r="AE20" i="5" s="1"/>
  <c r="AD5" i="6" s="1"/>
  <c r="AD20" i="6" s="1"/>
  <c r="E25" i="7" s="1"/>
  <c r="I25" i="7" s="1"/>
  <c r="AF6" i="5"/>
  <c r="AG6" i="5"/>
  <c r="AH6" i="5"/>
  <c r="AH20" i="5" s="1"/>
  <c r="AG5" i="6" s="1"/>
  <c r="AI6" i="5"/>
  <c r="AI20" i="5" s="1"/>
  <c r="AH5" i="6" s="1"/>
  <c r="AH20" i="6" s="1"/>
  <c r="AJ6" i="5"/>
  <c r="AJ20" i="5" s="1"/>
  <c r="AI5" i="6" s="1"/>
  <c r="AK6" i="5"/>
  <c r="AK20" i="5" s="1"/>
  <c r="AJ5" i="6" s="1"/>
  <c r="AJ20" i="6" s="1"/>
  <c r="AL6" i="5"/>
  <c r="AL20" i="5" s="1"/>
  <c r="AK5" i="6" s="1"/>
  <c r="AM6" i="5"/>
  <c r="AM20" i="5" s="1"/>
  <c r="AL5" i="6" s="1"/>
  <c r="AN6" i="5"/>
  <c r="AN20" i="5" s="1"/>
  <c r="AM5" i="6" s="1"/>
  <c r="AO6" i="5"/>
  <c r="AO20" i="5" s="1"/>
  <c r="AN5" i="6" s="1"/>
  <c r="AP6" i="5"/>
  <c r="AQ6" i="5"/>
  <c r="AR6" i="5"/>
  <c r="AS6" i="5"/>
  <c r="AT6" i="5"/>
  <c r="AU6" i="5"/>
  <c r="AU20" i="5" s="1"/>
  <c r="AT5" i="6" s="1"/>
  <c r="AT20" i="6" s="1"/>
  <c r="F9" i="4"/>
  <c r="G9" i="4" s="1"/>
  <c r="E26" i="5" s="1"/>
  <c r="H9" i="4"/>
  <c r="J9" i="4"/>
  <c r="K9" i="4" s="1"/>
  <c r="I26" i="5" s="1"/>
  <c r="J26" i="5" s="1"/>
  <c r="R26" i="5" s="1"/>
  <c r="F8" i="4"/>
  <c r="G8" i="4" s="1"/>
  <c r="E25" i="5" s="1"/>
  <c r="H8" i="4"/>
  <c r="I8" i="4" s="1"/>
  <c r="J8" i="4"/>
  <c r="K8" i="4" s="1"/>
  <c r="L8" i="4"/>
  <c r="J41" i="3"/>
  <c r="J11" i="4" s="1"/>
  <c r="K11" i="4" s="1"/>
  <c r="I38" i="5" s="1"/>
  <c r="J38" i="5" s="1"/>
  <c r="B40" i="3"/>
  <c r="F39" i="3"/>
  <c r="J39" i="3"/>
  <c r="F38" i="3"/>
  <c r="J38" i="3"/>
  <c r="B34" i="3"/>
  <c r="I34" i="3"/>
  <c r="J34" i="3" s="1"/>
  <c r="L34" i="3" s="1"/>
  <c r="F33" i="3"/>
  <c r="G33" i="3"/>
  <c r="H33" i="3" s="1"/>
  <c r="H35" i="3" s="1"/>
  <c r="H10" i="4" s="1"/>
  <c r="J33" i="3"/>
  <c r="J35" i="3" s="1"/>
  <c r="J10" i="4" s="1"/>
  <c r="K10" i="4" s="1"/>
  <c r="I27" i="5" s="1"/>
  <c r="J27" i="5" s="1"/>
  <c r="R27" i="5" s="1"/>
  <c r="B32" i="3"/>
  <c r="H31" i="3"/>
  <c r="J31" i="3"/>
  <c r="B21" i="3"/>
  <c r="I21" i="3"/>
  <c r="J21" i="3" s="1"/>
  <c r="L21" i="3" s="1"/>
  <c r="F20" i="3"/>
  <c r="G20" i="3"/>
  <c r="H20" i="3" s="1"/>
  <c r="L20" i="3" s="1"/>
  <c r="J20" i="3"/>
  <c r="F19" i="3"/>
  <c r="G19" i="3"/>
  <c r="H19" i="3" s="1"/>
  <c r="J19" i="3"/>
  <c r="J22" i="3" s="1"/>
  <c r="J7" i="4" s="1"/>
  <c r="K7" i="4" s="1"/>
  <c r="I23" i="5" s="1"/>
  <c r="J23" i="5" s="1"/>
  <c r="R23" i="5" s="1"/>
  <c r="H18" i="3"/>
  <c r="J18" i="3"/>
  <c r="B14" i="3"/>
  <c r="I14" i="3"/>
  <c r="J14" i="3" s="1"/>
  <c r="L14" i="3" s="1"/>
  <c r="F13" i="3"/>
  <c r="G13" i="3"/>
  <c r="H13" i="3" s="1"/>
  <c r="L13" i="3" s="1"/>
  <c r="J13" i="3"/>
  <c r="F12" i="3"/>
  <c r="G12" i="3"/>
  <c r="H12" i="3" s="1"/>
  <c r="J12" i="3"/>
  <c r="B11" i="3"/>
  <c r="H10" i="3"/>
  <c r="J10" i="3"/>
  <c r="J15" i="3" s="1"/>
  <c r="J6" i="4" s="1"/>
  <c r="K6" i="4" s="1"/>
  <c r="I22" i="5" s="1"/>
  <c r="J22" i="5" s="1"/>
  <c r="F6" i="3"/>
  <c r="F7" i="3" s="1"/>
  <c r="G6" i="3"/>
  <c r="H6" i="3" s="1"/>
  <c r="L6" i="3" s="1"/>
  <c r="J6" i="3"/>
  <c r="J7" i="3" s="1"/>
  <c r="J5" i="4" s="1"/>
  <c r="K5" i="4" s="1"/>
  <c r="I6" i="5" s="1"/>
  <c r="O16" i="2"/>
  <c r="G39" i="3" s="1"/>
  <c r="H39" i="3" s="1"/>
  <c r="L39" i="3" s="1"/>
  <c r="O15" i="2"/>
  <c r="G38" i="3" s="1"/>
  <c r="H38" i="3" s="1"/>
  <c r="O14" i="2"/>
  <c r="O13" i="2"/>
  <c r="O12" i="2"/>
  <c r="O11" i="2"/>
  <c r="E31" i="3" s="1"/>
  <c r="O10" i="2"/>
  <c r="E18" i="3" s="1"/>
  <c r="O9" i="2"/>
  <c r="E28" i="5" s="1"/>
  <c r="O8" i="2"/>
  <c r="E24" i="5" s="1"/>
  <c r="O7" i="2"/>
  <c r="E55" i="5" s="1"/>
  <c r="O6" i="2"/>
  <c r="E54" i="5" s="1"/>
  <c r="O5" i="2"/>
  <c r="E10" i="3" s="1"/>
  <c r="L38" i="3" l="1"/>
  <c r="H41" i="3"/>
  <c r="H11" i="4" s="1"/>
  <c r="E40" i="3"/>
  <c r="F40" i="3" s="1"/>
  <c r="AS20" i="6"/>
  <c r="F26" i="5"/>
  <c r="AR20" i="6"/>
  <c r="F18" i="3"/>
  <c r="K18" i="3"/>
  <c r="J6" i="5"/>
  <c r="I20" i="5"/>
  <c r="AQ20" i="6"/>
  <c r="AP20" i="6"/>
  <c r="L7" i="3"/>
  <c r="F5" i="4"/>
  <c r="G5" i="4" s="1"/>
  <c r="E6" i="5" s="1"/>
  <c r="AO20" i="6"/>
  <c r="AM20" i="6"/>
  <c r="W20" i="6"/>
  <c r="E36" i="7" s="1"/>
  <c r="I36" i="7" s="1"/>
  <c r="AE20" i="6"/>
  <c r="E26" i="7" s="1"/>
  <c r="I26" i="7" s="1"/>
  <c r="K24" i="5"/>
  <c r="F24" i="5"/>
  <c r="L24" i="5" s="1"/>
  <c r="X20" i="6"/>
  <c r="F10" i="3"/>
  <c r="K10" i="3"/>
  <c r="F54" i="5"/>
  <c r="K54" i="5"/>
  <c r="R38" i="5"/>
  <c r="R52" i="5" s="1"/>
  <c r="Q7" i="6" s="1"/>
  <c r="J52" i="5"/>
  <c r="H7" i="6" s="1"/>
  <c r="I7" i="6" s="1"/>
  <c r="AL20" i="6"/>
  <c r="V20" i="6"/>
  <c r="AC20" i="6"/>
  <c r="R22" i="5"/>
  <c r="R36" i="5" s="1"/>
  <c r="Q6" i="6" s="1"/>
  <c r="J36" i="5"/>
  <c r="H6" i="6" s="1"/>
  <c r="I6" i="6" s="1"/>
  <c r="AN20" i="6"/>
  <c r="K55" i="5"/>
  <c r="F55" i="5"/>
  <c r="L55" i="5" s="1"/>
  <c r="AK20" i="6"/>
  <c r="U20" i="6"/>
  <c r="AB20" i="6"/>
  <c r="K28" i="5"/>
  <c r="F28" i="5"/>
  <c r="L28" i="5" s="1"/>
  <c r="AI20" i="6"/>
  <c r="Z20" i="6"/>
  <c r="E35" i="7" s="1"/>
  <c r="I35" i="7" s="1"/>
  <c r="Y20" i="6"/>
  <c r="F25" i="5"/>
  <c r="K25" i="5"/>
  <c r="F31" i="3"/>
  <c r="K31" i="3"/>
  <c r="AG20" i="6"/>
  <c r="H7" i="3"/>
  <c r="H5" i="4" s="1"/>
  <c r="I5" i="4" s="1"/>
  <c r="L9" i="4"/>
  <c r="H15" i="3"/>
  <c r="H6" i="4" s="1"/>
  <c r="H22" i="3"/>
  <c r="H7" i="4" s="1"/>
  <c r="L12" i="3"/>
  <c r="L19" i="3"/>
  <c r="K33" i="3"/>
  <c r="L33" i="3"/>
  <c r="L25" i="5"/>
  <c r="I10" i="4"/>
  <c r="I9" i="4"/>
  <c r="M8" i="4"/>
  <c r="K40" i="3"/>
  <c r="K39" i="3"/>
  <c r="K38" i="3"/>
  <c r="K34" i="3"/>
  <c r="K21" i="3"/>
  <c r="K20" i="3"/>
  <c r="K19" i="3"/>
  <c r="K14" i="3"/>
  <c r="K13" i="3"/>
  <c r="K12" i="3"/>
  <c r="K6" i="3"/>
  <c r="M5" i="4" l="1"/>
  <c r="G6" i="5"/>
  <c r="H6" i="5" s="1"/>
  <c r="L54" i="5"/>
  <c r="F68" i="5"/>
  <c r="R6" i="5"/>
  <c r="R20" i="5" s="1"/>
  <c r="Q5" i="6" s="1"/>
  <c r="Q20" i="6" s="1"/>
  <c r="J20" i="5"/>
  <c r="H5" i="6" s="1"/>
  <c r="I5" i="6" s="1"/>
  <c r="L18" i="3"/>
  <c r="F22" i="3"/>
  <c r="L10" i="3"/>
  <c r="E11" i="3"/>
  <c r="K6" i="5"/>
  <c r="F6" i="5"/>
  <c r="F20" i="5" s="1"/>
  <c r="I6" i="4"/>
  <c r="I7" i="4"/>
  <c r="L31" i="3"/>
  <c r="E32" i="3"/>
  <c r="M9" i="4"/>
  <c r="G26" i="5"/>
  <c r="L40" i="3"/>
  <c r="F41" i="3"/>
  <c r="L5" i="4"/>
  <c r="G27" i="5"/>
  <c r="H27" i="5" s="1"/>
  <c r="I20" i="6"/>
  <c r="E12" i="7" s="1"/>
  <c r="I12" i="7" s="1"/>
  <c r="I11" i="4"/>
  <c r="G22" i="5" l="1"/>
  <c r="H22" i="5" s="1"/>
  <c r="L22" i="3"/>
  <c r="F7" i="4"/>
  <c r="G38" i="5"/>
  <c r="H38" i="5" s="1"/>
  <c r="H26" i="5"/>
  <c r="L26" i="5" s="1"/>
  <c r="K26" i="5"/>
  <c r="L68" i="5"/>
  <c r="D8" i="6"/>
  <c r="D5" i="6"/>
  <c r="L20" i="5"/>
  <c r="F32" i="3"/>
  <c r="K32" i="3"/>
  <c r="L6" i="5"/>
  <c r="H20" i="5"/>
  <c r="F5" i="6" s="1"/>
  <c r="G5" i="6" s="1"/>
  <c r="F11" i="3"/>
  <c r="K11" i="3"/>
  <c r="L41" i="3"/>
  <c r="F11" i="4"/>
  <c r="G23" i="5"/>
  <c r="H23" i="5" s="1"/>
  <c r="J8" i="6" l="1"/>
  <c r="E8" i="6"/>
  <c r="K8" i="6" s="1"/>
  <c r="L32" i="3"/>
  <c r="F35" i="3"/>
  <c r="H52" i="5"/>
  <c r="F7" i="6" s="1"/>
  <c r="G7" i="6" s="1"/>
  <c r="G11" i="4"/>
  <c r="L11" i="4"/>
  <c r="G7" i="4"/>
  <c r="L7" i="4"/>
  <c r="H36" i="5"/>
  <c r="F6" i="6" s="1"/>
  <c r="G6" i="6" s="1"/>
  <c r="G20" i="6" s="1"/>
  <c r="E9" i="7" s="1"/>
  <c r="J5" i="6"/>
  <c r="E5" i="6"/>
  <c r="L11" i="3"/>
  <c r="F15" i="3"/>
  <c r="E18" i="7" l="1"/>
  <c r="I18" i="7" s="1"/>
  <c r="I9" i="7"/>
  <c r="E15" i="7"/>
  <c r="E16" i="7"/>
  <c r="I16" i="7" s="1"/>
  <c r="E10" i="7"/>
  <c r="I10" i="7" s="1"/>
  <c r="L35" i="3"/>
  <c r="F10" i="4"/>
  <c r="E38" i="5"/>
  <c r="M11" i="4"/>
  <c r="K5" i="6"/>
  <c r="E23" i="5"/>
  <c r="M7" i="4"/>
  <c r="L15" i="3"/>
  <c r="F6" i="4"/>
  <c r="G6" i="4" l="1"/>
  <c r="L6" i="4"/>
  <c r="F38" i="5"/>
  <c r="K38" i="5"/>
  <c r="G10" i="4"/>
  <c r="L10" i="4"/>
  <c r="I15" i="7"/>
  <c r="E17" i="7"/>
  <c r="I17" i="7" s="1"/>
  <c r="F23" i="5"/>
  <c r="L23" i="5" s="1"/>
  <c r="K23" i="5"/>
  <c r="E11" i="7"/>
  <c r="E14" i="7" l="1"/>
  <c r="I14" i="7" s="1"/>
  <c r="I11" i="7"/>
  <c r="E13" i="7"/>
  <c r="I13" i="7" s="1"/>
  <c r="E27" i="5"/>
  <c r="M10" i="4"/>
  <c r="F52" i="5"/>
  <c r="L38" i="5"/>
  <c r="E22" i="5"/>
  <c r="M6" i="4"/>
  <c r="F22" i="5" l="1"/>
  <c r="K22" i="5"/>
  <c r="L52" i="5"/>
  <c r="D7" i="6"/>
  <c r="F27" i="5"/>
  <c r="L27" i="5" s="1"/>
  <c r="K27" i="5"/>
  <c r="J7" i="6" l="1"/>
  <c r="E7" i="6"/>
  <c r="K7" i="6" s="1"/>
  <c r="F36" i="5"/>
  <c r="L22" i="5"/>
  <c r="D6" i="6" l="1"/>
  <c r="L36" i="5"/>
  <c r="E6" i="6" l="1"/>
  <c r="J6" i="6"/>
  <c r="K6" i="6" l="1"/>
  <c r="E20" i="6"/>
  <c r="E5" i="7" l="1"/>
  <c r="K20" i="6"/>
  <c r="I5" i="7" l="1"/>
  <c r="E6" i="7"/>
  <c r="I6" i="7" s="1"/>
  <c r="E8" i="7"/>
  <c r="E24" i="7" l="1"/>
  <c r="I24" i="7" s="1"/>
  <c r="I8" i="7"/>
  <c r="E21" i="7"/>
  <c r="I21" i="7" s="1"/>
  <c r="E19" i="7"/>
  <c r="E20" i="7"/>
  <c r="I20" i="7" s="1"/>
  <c r="E22" i="7"/>
  <c r="I22" i="7" s="1"/>
  <c r="I19" i="7" l="1"/>
  <c r="E27" i="7"/>
  <c r="I27" i="7" l="1"/>
  <c r="E28" i="7"/>
  <c r="I28" i="7" s="1"/>
  <c r="E29" i="7"/>
  <c r="I29" i="7" s="1"/>
  <c r="I30" i="7" l="1"/>
  <c r="E30" i="7" s="1"/>
  <c r="E31" i="7" s="1"/>
  <c r="E32" i="7" s="1"/>
  <c r="E33" i="7" s="1"/>
  <c r="E37" i="7" s="1"/>
  <c r="I31" i="7" l="1"/>
  <c r="I32" i="7" s="1"/>
  <c r="I33" i="7" s="1"/>
  <c r="I37" i="7" s="1"/>
</calcChain>
</file>

<file path=xl/sharedStrings.xml><?xml version="1.0" encoding="utf-8"?>
<sst xmlns="http://schemas.openxmlformats.org/spreadsheetml/2006/main" count="590" uniqueCount="260">
  <si>
    <t>단 가 대 비 표</t>
  </si>
  <si>
    <t>공사명 : 전략반도체특화 실증랩 전시공간</t>
  </si>
  <si>
    <t>품     명</t>
  </si>
  <si>
    <t>규     격</t>
  </si>
  <si>
    <t>단위</t>
  </si>
  <si>
    <t>물가자료</t>
  </si>
  <si>
    <t>물가정보</t>
  </si>
  <si>
    <t>가격정보</t>
  </si>
  <si>
    <t>거래가격</t>
  </si>
  <si>
    <t>유통물가</t>
  </si>
  <si>
    <t>상반기</t>
  </si>
  <si>
    <t>조사단가</t>
  </si>
  <si>
    <t>적용단가</t>
  </si>
  <si>
    <t>비 고</t>
  </si>
  <si>
    <t>단가</t>
  </si>
  <si>
    <t>Page</t>
  </si>
  <si>
    <t>각재</t>
  </si>
  <si>
    <t>각재, 외송</t>
  </si>
  <si>
    <t>재</t>
  </si>
  <si>
    <t>98</t>
  </si>
  <si>
    <t>129(2205)</t>
  </si>
  <si>
    <t>149</t>
  </si>
  <si>
    <t>73</t>
  </si>
  <si>
    <t>문화재보호시설</t>
  </si>
  <si>
    <t>아크릴스카시, H:100(도장/취부 포함)</t>
  </si>
  <si>
    <t>문자</t>
  </si>
  <si>
    <t>580(2401)</t>
  </si>
  <si>
    <t>컷팅쉬트(문자,이미지포함), 시공비포함(고소작업 제외)</t>
  </si>
  <si>
    <t>M2</t>
  </si>
  <si>
    <t>580</t>
  </si>
  <si>
    <t>석고보드</t>
  </si>
  <si>
    <t>석고보드, 평보드, 9.5×900×1800mm(매)</t>
  </si>
  <si>
    <t>매</t>
  </si>
  <si>
    <t>667</t>
  </si>
  <si>
    <t>579</t>
  </si>
  <si>
    <t>675</t>
  </si>
  <si>
    <t>408</t>
  </si>
  <si>
    <t>인테리어마감재</t>
  </si>
  <si>
    <t>무늬목, 시공비/부자재포함</t>
  </si>
  <si>
    <t>624</t>
  </si>
  <si>
    <t>677(2203)</t>
  </si>
  <si>
    <t>중밀도섬유판</t>
  </si>
  <si>
    <t>중밀도섬유판, 9.0×1220×2440mm</t>
  </si>
  <si>
    <t>㎡</t>
  </si>
  <si>
    <t>669</t>
  </si>
  <si>
    <t>672</t>
  </si>
  <si>
    <t>409</t>
  </si>
  <si>
    <t>천장몰딩</t>
  </si>
  <si>
    <t>55*12,랩핑</t>
  </si>
  <si>
    <t>M</t>
  </si>
  <si>
    <t>563</t>
  </si>
  <si>
    <t>건축목공</t>
  </si>
  <si>
    <t>일반공사 직종</t>
  </si>
  <si>
    <t>인</t>
  </si>
  <si>
    <t>내장공</t>
  </si>
  <si>
    <t>보통인부</t>
  </si>
  <si>
    <t>통신관련산업기사</t>
  </si>
  <si>
    <t>기타 직종</t>
  </si>
  <si>
    <t>통신설비공</t>
  </si>
  <si>
    <t>일 위 대 가 내 역 서</t>
  </si>
  <si>
    <t>품        명</t>
  </si>
  <si>
    <t>규        격</t>
  </si>
  <si>
    <t>수  량</t>
  </si>
  <si>
    <t>재  료  비</t>
  </si>
  <si>
    <t>노  무  비</t>
  </si>
  <si>
    <t>경      비</t>
  </si>
  <si>
    <t>합      계</t>
  </si>
  <si>
    <t>비  고</t>
  </si>
  <si>
    <t>단  가</t>
  </si>
  <si>
    <t>금   액</t>
  </si>
  <si>
    <t>손료요율</t>
  </si>
  <si>
    <t>손료구분</t>
  </si>
  <si>
    <t>적용구분</t>
  </si>
  <si>
    <t>합계구분</t>
  </si>
  <si>
    <t>품목구분</t>
  </si>
  <si>
    <t>조달코드</t>
  </si>
  <si>
    <t>[일위  1호] - [자재 소운반(15층 이하 기준)    M2]</t>
  </si>
  <si>
    <t>2023 실내건축협회</t>
  </si>
  <si>
    <t>02</t>
  </si>
  <si>
    <t>기계경비</t>
  </si>
  <si>
    <t>합  계</t>
  </si>
  <si>
    <t>[일위  2호] - [목조칸막이벽설치  외송각재, 70*70@450*600  M2]</t>
  </si>
  <si>
    <t>건축4-2-2</t>
  </si>
  <si>
    <t>01</t>
  </si>
  <si>
    <t>잡재료비</t>
  </si>
  <si>
    <t>식</t>
  </si>
  <si>
    <t>20</t>
  </si>
  <si>
    <t>A0100000000</t>
  </si>
  <si>
    <t>공구손료 및 경장비의 기계경비</t>
  </si>
  <si>
    <t>25</t>
  </si>
  <si>
    <t>A0200000000</t>
  </si>
  <si>
    <t>[일위  3호] - [벽,MDF붙임  MDF포함  M2]</t>
  </si>
  <si>
    <t>건축4-2-3</t>
  </si>
  <si>
    <t>[일위  4호] - [석고보드 설치  건식벽체, 1P, 3.6m 이하,일반, 방수, 차음, 방화 15mm이하  m2]</t>
  </si>
  <si>
    <t>시장시공 2024-04-12</t>
  </si>
  <si>
    <t>[일위  5호] - [걸레받이 설치  합성수지/높이 75∼120㎜  m]</t>
  </si>
  <si>
    <t>건축표준시장(2024년상)</t>
  </si>
  <si>
    <t>[일위  6호] - [천정몰딩설치  55*12,랩핑몰딩  M]</t>
  </si>
  <si>
    <t>건축8-1-5</t>
  </si>
  <si>
    <t>[일위  7호] - [디지털 사이니지  비디오월 설치  면]</t>
  </si>
  <si>
    <t>통신9-4-17</t>
  </si>
  <si>
    <t>공구손료</t>
  </si>
  <si>
    <t>23</t>
  </si>
  <si>
    <t>일 위 대 가 목 록</t>
  </si>
  <si>
    <t>호 표</t>
  </si>
  <si>
    <t>수량</t>
  </si>
  <si>
    <t>재 료 비</t>
  </si>
  <si>
    <t>노 무 비</t>
  </si>
  <si>
    <t>경    비</t>
  </si>
  <si>
    <t>합    계</t>
  </si>
  <si>
    <t>금    액</t>
  </si>
  <si>
    <t>일위  1호</t>
  </si>
  <si>
    <t>자재 소운반(15층 이하 기준)</t>
  </si>
  <si>
    <t/>
  </si>
  <si>
    <t>일위  2호</t>
  </si>
  <si>
    <t>목조칸막이벽설치</t>
  </si>
  <si>
    <t>외송각재, 70*70@450*600</t>
  </si>
  <si>
    <t>일위  3호</t>
  </si>
  <si>
    <t>벽,MDF붙임</t>
  </si>
  <si>
    <t>MDF포함</t>
  </si>
  <si>
    <t>일위  4호</t>
  </si>
  <si>
    <t>석고보드 설치</t>
  </si>
  <si>
    <t>건식벽체, 1P, 3.6m 이하,일반, 방수, 차음, 방화 15mm이하</t>
  </si>
  <si>
    <t>m2</t>
  </si>
  <si>
    <t>일위  5호</t>
  </si>
  <si>
    <t>걸레받이 설치</t>
  </si>
  <si>
    <t>합성수지/높이 75∼120㎜</t>
  </si>
  <si>
    <t>m</t>
  </si>
  <si>
    <t>일위  6호</t>
  </si>
  <si>
    <t>천정몰딩설치</t>
  </si>
  <si>
    <t>55*12,랩핑몰딩</t>
  </si>
  <si>
    <t>일위  7호</t>
  </si>
  <si>
    <t>디지털 사이니지</t>
  </si>
  <si>
    <t>비디오월 설치</t>
  </si>
  <si>
    <t>면</t>
  </si>
  <si>
    <t>공 사 내 역 서</t>
  </si>
  <si>
    <t>품      명</t>
  </si>
  <si>
    <t>규      격</t>
  </si>
  <si>
    <t>비고</t>
  </si>
  <si>
    <t>운반비</t>
  </si>
  <si>
    <t>작업부산물</t>
  </si>
  <si>
    <t>관급</t>
  </si>
  <si>
    <t>외주비</t>
  </si>
  <si>
    <t>장비비</t>
  </si>
  <si>
    <t>폐기물처리비</t>
  </si>
  <si>
    <t>가설비</t>
  </si>
  <si>
    <t>잡비제외분</t>
  </si>
  <si>
    <t>사급자재대</t>
  </si>
  <si>
    <t>관급자재대</t>
  </si>
  <si>
    <t>사용자항목1</t>
  </si>
  <si>
    <t>사용자항목2</t>
  </si>
  <si>
    <t>안전관리비</t>
  </si>
  <si>
    <t>품질관리비</t>
  </si>
  <si>
    <t>사용자항목5</t>
  </si>
  <si>
    <t>사용자항목6</t>
  </si>
  <si>
    <t>사용자항목7</t>
  </si>
  <si>
    <t>사용자항목8</t>
  </si>
  <si>
    <t>사용자항목9</t>
  </si>
  <si>
    <t>사용자항목10</t>
  </si>
  <si>
    <t>사용자항목11</t>
  </si>
  <si>
    <t>사용자항목12</t>
  </si>
  <si>
    <t>사용자항목13</t>
  </si>
  <si>
    <t>사용자항목14</t>
  </si>
  <si>
    <t>사용자항목15</t>
  </si>
  <si>
    <t>사용자항목16</t>
  </si>
  <si>
    <t>사용자항목17</t>
  </si>
  <si>
    <t>사용자항목18</t>
  </si>
  <si>
    <t>사용자항목19</t>
  </si>
  <si>
    <t>간접재료비</t>
  </si>
  <si>
    <t>01. 가설공사</t>
  </si>
  <si>
    <t>02. 목공사 및 수장공사</t>
  </si>
  <si>
    <t>석고판</t>
  </si>
  <si>
    <t>인테리어필름</t>
  </si>
  <si>
    <t>03. 사이니지설치</t>
  </si>
  <si>
    <t>04. 기타공사</t>
  </si>
  <si>
    <t>공 사 집 계 표</t>
  </si>
  <si>
    <t>과장</t>
  </si>
  <si>
    <t>담당</t>
  </si>
  <si>
    <t>검산자</t>
  </si>
  <si>
    <t>설계자</t>
  </si>
  <si>
    <t>2024년 7월  설계</t>
  </si>
  <si>
    <t>공 사 원 가 계 산 서</t>
  </si>
  <si>
    <t xml:space="preserve">                     구  분
  비   목</t>
  </si>
  <si>
    <t>구    성   비</t>
  </si>
  <si>
    <t>금      액</t>
  </si>
  <si>
    <t>비    고</t>
  </si>
  <si>
    <t>직   접   재  료  비</t>
  </si>
  <si>
    <t>A1</t>
  </si>
  <si>
    <t>간   접   재  료  비</t>
  </si>
  <si>
    <t>A2</t>
  </si>
  <si>
    <t>작업설.부산물 등(△)</t>
  </si>
  <si>
    <t>A3</t>
  </si>
  <si>
    <t>소                계</t>
  </si>
  <si>
    <t>A</t>
  </si>
  <si>
    <t>직   접   노  무  비</t>
  </si>
  <si>
    <t>B1</t>
  </si>
  <si>
    <t>간   접   노  무  비</t>
  </si>
  <si>
    <t>B2</t>
  </si>
  <si>
    <t>B</t>
  </si>
  <si>
    <t>기    계    경    비</t>
  </si>
  <si>
    <t>C4</t>
  </si>
  <si>
    <t>산  재  보   험   료</t>
  </si>
  <si>
    <t>C10</t>
  </si>
  <si>
    <t>고  용  보   험   료</t>
  </si>
  <si>
    <t>C11</t>
  </si>
  <si>
    <t>건  강  보   험   료</t>
  </si>
  <si>
    <t>C12</t>
  </si>
  <si>
    <t>연  금  보   험   료</t>
  </si>
  <si>
    <t>C13</t>
  </si>
  <si>
    <t>노인 장기 요양보험료</t>
  </si>
  <si>
    <t>C14</t>
  </si>
  <si>
    <t>퇴 직 공 제 부 금 비</t>
  </si>
  <si>
    <t>C15</t>
  </si>
  <si>
    <t>산업 안전 보건관리비</t>
  </si>
  <si>
    <t>C16</t>
  </si>
  <si>
    <t>기    타    경    비</t>
  </si>
  <si>
    <t>C20</t>
  </si>
  <si>
    <t>환  경  보   전   비</t>
  </si>
  <si>
    <t>C25</t>
  </si>
  <si>
    <t>건설하도급보증수수료</t>
  </si>
  <si>
    <t>C30</t>
  </si>
  <si>
    <t>공사 이행 보증수수료</t>
  </si>
  <si>
    <t>C31</t>
  </si>
  <si>
    <t>건설기계대여보증수수료</t>
  </si>
  <si>
    <t>C32</t>
  </si>
  <si>
    <t>안  전  관   리   비</t>
  </si>
  <si>
    <t>C17</t>
  </si>
  <si>
    <t>품  질  관   리   비</t>
  </si>
  <si>
    <t>C18</t>
  </si>
  <si>
    <t>C</t>
  </si>
  <si>
    <t xml:space="preserve">         계</t>
  </si>
  <si>
    <t>X</t>
  </si>
  <si>
    <t>일  반   관   리  비</t>
  </si>
  <si>
    <t>D</t>
  </si>
  <si>
    <t>이                윤</t>
  </si>
  <si>
    <t>E</t>
  </si>
  <si>
    <t>총       원       가</t>
  </si>
  <si>
    <t>F</t>
  </si>
  <si>
    <t>부   가   가  치  세</t>
  </si>
  <si>
    <t>H</t>
  </si>
  <si>
    <t>도    급    금    액</t>
  </si>
  <si>
    <t>Y</t>
  </si>
  <si>
    <t>관   급  자   재  대</t>
  </si>
  <si>
    <t>J</t>
  </si>
  <si>
    <t>사   급   자  재  대</t>
  </si>
  <si>
    <t>K</t>
  </si>
  <si>
    <t>폐  기  물  처 리 비</t>
  </si>
  <si>
    <t>L</t>
  </si>
  <si>
    <t>총   공   사  금  액</t>
  </si>
  <si>
    <t>재료비</t>
  </si>
  <si>
    <t>노무비</t>
  </si>
  <si>
    <t>경  비</t>
  </si>
  <si>
    <t>순  공  사  원  가</t>
  </si>
  <si>
    <t>디지털 사이니지 설치</t>
    <phoneticPr fontId="1" type="noConversion"/>
  </si>
  <si>
    <t>디지털사이니지</t>
    <phoneticPr fontId="1" type="noConversion"/>
  </si>
  <si>
    <t>55Inch</t>
    <phoneticPr fontId="1" type="noConversion"/>
  </si>
  <si>
    <t>대</t>
    <phoneticPr fontId="1" type="noConversion"/>
  </si>
  <si>
    <t>액자</t>
    <phoneticPr fontId="1" type="noConversion"/>
  </si>
  <si>
    <t>개</t>
    <phoneticPr fontId="1" type="noConversion"/>
  </si>
  <si>
    <t>실사출력 및 액자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</si>
</sst>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rgb="FF000000"/>
      <name val="굴림체"/>
      <family val="3"/>
      <charset val="129"/>
    </font>
    <font>
      <b/>
      <u/>
      <sz val="9"/>
      <color rgb="FF0000FF"/>
      <name val="굴림체"/>
      <family val="3"/>
      <charset val="129"/>
    </font>
    <font>
      <b/>
      <u/>
      <sz val="9"/>
      <color rgb="FF0000FF"/>
      <name val="맑은 고딕"/>
      <family val="2"/>
      <charset val="129"/>
      <scheme val="minor"/>
    </font>
    <font>
      <sz val="7"/>
      <color rgb="FF000080"/>
      <name val="굴림체"/>
      <family val="3"/>
      <charset val="129"/>
    </font>
    <font>
      <sz val="7"/>
      <color theme="1"/>
      <name val="굴림체"/>
      <family val="3"/>
      <charset val="129"/>
    </font>
    <font>
      <sz val="8"/>
      <color rgb="FF000080"/>
      <name val="굴림체"/>
      <family val="3"/>
      <charset val="129"/>
    </font>
    <font>
      <b/>
      <sz val="8"/>
      <color rgb="FF0000FF"/>
      <name val="굴림체"/>
      <family val="3"/>
      <charset val="129"/>
    </font>
    <font>
      <sz val="8"/>
      <color theme="1"/>
      <name val="굴림체"/>
      <family val="3"/>
      <charset val="129"/>
    </font>
    <font>
      <sz val="8"/>
      <color rgb="FF000000"/>
      <name val="굴림체"/>
      <family val="3"/>
      <charset val="129"/>
    </font>
    <font>
      <b/>
      <sz val="8"/>
      <color rgb="FF800000"/>
      <name val="굴림체"/>
      <family val="3"/>
      <charset val="129"/>
    </font>
    <font>
      <sz val="13"/>
      <color theme="1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CE4D6"/>
        <bgColor indexed="64"/>
      </patternFill>
    </fill>
    <fill>
      <patternFill patternType="solid">
        <fgColor rgb="FFFFFFE7"/>
        <bgColor indexed="64"/>
      </patternFill>
    </fill>
    <fill>
      <patternFill patternType="solid">
        <fgColor rgb="FFF0FFFF"/>
        <bgColor indexed="64"/>
      </patternFill>
    </fill>
    <fill>
      <patternFill patternType="solid">
        <fgColor rgb="FFF4F4FD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left" vertical="center" shrinkToFit="1"/>
    </xf>
    <xf numFmtId="0" fontId="6" fillId="0" borderId="1" xfId="0" quotePrefix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right" vertical="center" shrinkToFit="1"/>
    </xf>
    <xf numFmtId="0" fontId="6" fillId="0" borderId="1" xfId="0" quotePrefix="1" applyFont="1" applyBorder="1" applyAlignment="1">
      <alignment horizontal="right" vertical="center" shrinkToFit="1"/>
    </xf>
    <xf numFmtId="0" fontId="6" fillId="0" borderId="1" xfId="0" applyFont="1" applyBorder="1" applyAlignment="1">
      <alignment horizontal="left" vertical="center" shrinkToFit="1"/>
    </xf>
    <xf numFmtId="0" fontId="6" fillId="0" borderId="1" xfId="0" applyFont="1" applyBorder="1" applyAlignment="1">
      <alignment horizontal="center" vertical="center" shrinkToFit="1"/>
    </xf>
    <xf numFmtId="0" fontId="0" fillId="0" borderId="0" xfId="0" quotePrefix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0" fontId="8" fillId="4" borderId="1" xfId="0" quotePrefix="1" applyFont="1" applyFill="1" applyBorder="1" applyAlignment="1">
      <alignment horizontal="left" vertical="center" shrinkToFit="1"/>
    </xf>
    <xf numFmtId="0" fontId="9" fillId="0" borderId="1" xfId="0" quotePrefix="1" applyFont="1" applyBorder="1" applyAlignment="1">
      <alignment horizontal="left" vertical="center" shrinkToFit="1"/>
    </xf>
    <xf numFmtId="0" fontId="9" fillId="0" borderId="1" xfId="0" quotePrefix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right" vertical="center" shrinkToFit="1"/>
    </xf>
    <xf numFmtId="0" fontId="9" fillId="0" borderId="1" xfId="0" applyFont="1" applyBorder="1" applyAlignment="1">
      <alignment horizontal="left" vertical="center" shrinkToFit="1"/>
    </xf>
    <xf numFmtId="0" fontId="10" fillId="2" borderId="1" xfId="0" quotePrefix="1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left" vertical="center" shrinkToFit="1"/>
    </xf>
    <xf numFmtId="0" fontId="10" fillId="2" borderId="1" xfId="0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right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0" borderId="1" xfId="0" quotePrefix="1" applyFont="1" applyBorder="1" applyAlignment="1">
      <alignment horizontal="right" vertical="center" shrinkToFit="1"/>
    </xf>
    <xf numFmtId="0" fontId="12" fillId="0" borderId="1" xfId="0" quotePrefix="1" applyFont="1" applyBorder="1" applyAlignment="1">
      <alignment horizontal="center" vertical="center" textRotation="255"/>
    </xf>
    <xf numFmtId="0" fontId="12" fillId="0" borderId="1" xfId="0" applyFont="1" applyBorder="1">
      <alignment vertical="center"/>
    </xf>
    <xf numFmtId="0" fontId="12" fillId="0" borderId="1" xfId="0" quotePrefix="1" applyFont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10" fillId="0" borderId="11" xfId="0" quotePrefix="1" applyFont="1" applyBorder="1" applyAlignment="1">
      <alignment horizontal="left" vertical="center" shrinkToFit="1"/>
    </xf>
    <xf numFmtId="0" fontId="10" fillId="0" borderId="11" xfId="0" applyFont="1" applyBorder="1" applyAlignment="1">
      <alignment horizontal="right" vertical="center" shrinkToFit="1"/>
    </xf>
    <xf numFmtId="0" fontId="10" fillId="0" borderId="12" xfId="0" quotePrefix="1" applyFont="1" applyBorder="1" applyAlignment="1">
      <alignment horizontal="left" vertical="center" shrinkToFit="1"/>
    </xf>
    <xf numFmtId="0" fontId="10" fillId="0" borderId="12" xfId="0" applyFont="1" applyBorder="1" applyAlignment="1">
      <alignment horizontal="right" vertical="center" shrinkToFit="1"/>
    </xf>
    <xf numFmtId="0" fontId="10" fillId="0" borderId="13" xfId="0" quotePrefix="1" applyFont="1" applyBorder="1" applyAlignment="1">
      <alignment horizontal="left" vertical="center" shrinkToFit="1"/>
    </xf>
    <xf numFmtId="0" fontId="10" fillId="0" borderId="13" xfId="0" applyFont="1" applyBorder="1" applyAlignment="1">
      <alignment horizontal="right" vertical="center" shrinkToFit="1"/>
    </xf>
    <xf numFmtId="0" fontId="10" fillId="2" borderId="1" xfId="0" quotePrefix="1" applyFont="1" applyFill="1" applyBorder="1" applyAlignment="1">
      <alignment horizontal="left" vertical="center" shrinkToFit="1"/>
    </xf>
    <xf numFmtId="0" fontId="10" fillId="0" borderId="13" xfId="0" applyFont="1" applyBorder="1" applyAlignment="1">
      <alignment horizontal="left" vertical="center" shrinkToFit="1"/>
    </xf>
    <xf numFmtId="0" fontId="10" fillId="0" borderId="12" xfId="0" applyFont="1" applyBorder="1" applyAlignment="1">
      <alignment horizontal="left" vertical="center" shrinkToFit="1"/>
    </xf>
    <xf numFmtId="0" fontId="10" fillId="0" borderId="1" xfId="0" applyFont="1" applyBorder="1" applyAlignment="1">
      <alignment horizontal="left" vertical="center" shrinkToFit="1"/>
    </xf>
    <xf numFmtId="0" fontId="10" fillId="0" borderId="1" xfId="0" applyFont="1" applyBorder="1" applyAlignment="1">
      <alignment horizontal="right" vertical="center" shrinkToFit="1"/>
    </xf>
    <xf numFmtId="0" fontId="10" fillId="0" borderId="1" xfId="0" quotePrefix="1" applyFont="1" applyBorder="1" applyAlignment="1">
      <alignment horizontal="left" vertical="center" shrinkToFit="1"/>
    </xf>
    <xf numFmtId="0" fontId="12" fillId="0" borderId="1" xfId="0" applyFont="1" applyBorder="1">
      <alignment vertical="center"/>
    </xf>
    <xf numFmtId="0" fontId="12" fillId="0" borderId="1" xfId="0" applyFont="1" applyBorder="1" applyAlignment="1">
      <alignment vertical="center" shrinkToFit="1"/>
    </xf>
    <xf numFmtId="0" fontId="9" fillId="0" borderId="1" xfId="0" quotePrefix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10" fillId="2" borderId="1" xfId="0" quotePrefix="1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3" fillId="0" borderId="0" xfId="0" quotePrefix="1" applyFont="1">
      <alignment vertical="center"/>
    </xf>
    <xf numFmtId="0" fontId="4" fillId="0" borderId="0" xfId="0" applyFont="1">
      <alignment vertical="center"/>
    </xf>
    <xf numFmtId="0" fontId="7" fillId="3" borderId="10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3" borderId="6" xfId="0" applyFont="1" applyFill="1" applyBorder="1" applyAlignment="1">
      <alignment horizontal="left" vertical="center" wrapText="1"/>
    </xf>
    <xf numFmtId="0" fontId="7" fillId="3" borderId="7" xfId="0" applyFont="1" applyFill="1" applyBorder="1" applyAlignment="1">
      <alignment horizontal="left" vertical="center" wrapText="1"/>
    </xf>
    <xf numFmtId="0" fontId="7" fillId="3" borderId="8" xfId="0" applyFont="1" applyFill="1" applyBorder="1" applyAlignment="1">
      <alignment horizontal="left" vertical="center" wrapText="1"/>
    </xf>
    <xf numFmtId="0" fontId="7" fillId="3" borderId="9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9" fillId="0" borderId="11" xfId="0" quotePrefix="1" applyFont="1" applyBorder="1" applyAlignment="1">
      <alignment horizontal="center" vertical="center" textRotation="255" shrinkToFit="1"/>
    </xf>
    <xf numFmtId="0" fontId="9" fillId="0" borderId="12" xfId="0" applyFont="1" applyBorder="1" applyAlignment="1">
      <alignment horizontal="center" vertical="center" textRotation="255" shrinkToFit="1"/>
    </xf>
    <xf numFmtId="0" fontId="9" fillId="0" borderId="13" xfId="0" applyFont="1" applyBorder="1" applyAlignment="1">
      <alignment horizontal="center" vertical="center" textRotation="255" shrinkToFit="1"/>
    </xf>
    <xf numFmtId="0" fontId="9" fillId="0" borderId="1" xfId="0" applyFont="1" applyBorder="1" applyAlignment="1">
      <alignment horizontal="center" vertical="center" textRotation="255" shrinkToFit="1"/>
    </xf>
    <xf numFmtId="0" fontId="9" fillId="0" borderId="11" xfId="0" applyFont="1" applyBorder="1" applyAlignment="1">
      <alignment horizontal="center" vertical="center" textRotation="255" shrinkToFit="1"/>
    </xf>
    <xf numFmtId="0" fontId="11" fillId="5" borderId="3" xfId="0" quotePrefix="1" applyFont="1" applyFill="1" applyBorder="1" applyAlignment="1">
      <alignment horizontal="left" vertical="center" shrinkToFit="1"/>
    </xf>
    <xf numFmtId="0" fontId="11" fillId="5" borderId="4" xfId="0" quotePrefix="1" applyFont="1" applyFill="1" applyBorder="1" applyAlignment="1">
      <alignment horizontal="left" vertical="center" shrinkToFit="1"/>
    </xf>
    <xf numFmtId="0" fontId="11" fillId="5" borderId="5" xfId="0" quotePrefix="1" applyFont="1" applyFill="1" applyBorder="1" applyAlignment="1">
      <alignment horizontal="left" vertical="center" shrinkToFit="1"/>
    </xf>
    <xf numFmtId="0" fontId="11" fillId="5" borderId="1" xfId="0" quotePrefix="1" applyFont="1" applyFill="1" applyBorder="1" applyAlignment="1">
      <alignment horizontal="left" vertical="center" shrinkToFit="1"/>
    </xf>
    <xf numFmtId="0" fontId="11" fillId="5" borderId="1" xfId="0" applyFont="1" applyFill="1" applyBorder="1" applyAlignment="1">
      <alignment horizontal="left" vertical="center" shrinkToFit="1"/>
    </xf>
    <xf numFmtId="0" fontId="8" fillId="4" borderId="1" xfId="0" quotePrefix="1" applyFont="1" applyFill="1" applyBorder="1" applyAlignment="1">
      <alignment horizontal="left" vertical="center" shrinkToFit="1"/>
    </xf>
    <xf numFmtId="0" fontId="8" fillId="4" borderId="1" xfId="0" applyFont="1" applyFill="1" applyBorder="1" applyAlignment="1">
      <alignment horizontal="left" vertical="center" shrinkToFit="1"/>
    </xf>
    <xf numFmtId="0" fontId="8" fillId="4" borderId="3" xfId="0" quotePrefix="1" applyFont="1" applyFill="1" applyBorder="1" applyAlignment="1">
      <alignment horizontal="left" vertical="center" shrinkToFit="1"/>
    </xf>
    <xf numFmtId="0" fontId="8" fillId="4" borderId="4" xfId="0" quotePrefix="1" applyFont="1" applyFill="1" applyBorder="1" applyAlignment="1">
      <alignment horizontal="left" vertical="center" shrinkToFit="1"/>
    </xf>
    <xf numFmtId="0" fontId="8" fillId="4" borderId="5" xfId="0" quotePrefix="1" applyFont="1" applyFill="1" applyBorder="1" applyAlignment="1">
      <alignment horizontal="left" vertical="center" shrinkToFit="1"/>
    </xf>
    <xf numFmtId="0" fontId="5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12"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5</xdr:row>
      <xdr:rowOff>174625</xdr:rowOff>
    </xdr:from>
    <xdr:to>
      <xdr:col>8</xdr:col>
      <xdr:colOff>2587625</xdr:colOff>
      <xdr:row>7</xdr:row>
      <xdr:rowOff>200025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4AEAA0C7-DF2C-3405-F7CE-E8C9B9758D45}"/>
            </a:ext>
          </a:extLst>
        </xdr:cNvPr>
        <xdr:cNvSpPr txBox="1"/>
      </xdr:nvSpPr>
      <xdr:spPr>
        <a:xfrm>
          <a:off x="476250" y="1898650"/>
          <a:ext cx="8207375" cy="4445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pPr algn="l"/>
          <a:r>
            <a:rPr lang="en-US" altLang="ko-KR" sz="1500" b="1">
              <a:latin typeface="굴림체" panose="020B0609000101010101" pitchFamily="49" charset="-127"/>
              <a:ea typeface="굴림체" panose="020B0609000101010101" pitchFamily="49" charset="-127"/>
            </a:rPr>
            <a:t>2024</a:t>
          </a:r>
          <a:r>
            <a:rPr lang="ko-KR" altLang="en-US" sz="1500" b="1">
              <a:latin typeface="굴림체" panose="020B0609000101010101" pitchFamily="49" charset="-127"/>
              <a:ea typeface="굴림체" panose="020B0609000101010101" pitchFamily="49" charset="-127"/>
            </a:rPr>
            <a:t>년도</a:t>
          </a:r>
        </a:p>
      </xdr:txBody>
    </xdr:sp>
    <xdr:clientData/>
  </xdr:twoCellAnchor>
  <xdr:twoCellAnchor>
    <xdr:from>
      <xdr:col>0</xdr:col>
      <xdr:colOff>73025</xdr:colOff>
      <xdr:row>7</xdr:row>
      <xdr:rowOff>165100</xdr:rowOff>
    </xdr:from>
    <xdr:to>
      <xdr:col>8</xdr:col>
      <xdr:colOff>2660650</xdr:colOff>
      <xdr:row>10</xdr:row>
      <xdr:rowOff>9525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3B493B7C-FE92-4631-E7E9-B9983E656901}"/>
            </a:ext>
          </a:extLst>
        </xdr:cNvPr>
        <xdr:cNvSpPr txBox="1"/>
      </xdr:nvSpPr>
      <xdr:spPr>
        <a:xfrm>
          <a:off x="73025" y="2193925"/>
          <a:ext cx="8683625" cy="38735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pPr algn="ctr"/>
          <a:r>
            <a:rPr lang="ko-KR" altLang="en-US" sz="1800" b="1">
              <a:latin typeface="굴림체" panose="020B0609000101010101" pitchFamily="49" charset="-127"/>
              <a:ea typeface="굴림체" panose="020B0609000101010101" pitchFamily="49" charset="-127"/>
            </a:rPr>
            <a:t>구미시 「전력반도체 특화 디지털물류 서비스」 실증 사업 실증룸 구축</a:t>
          </a:r>
        </a:p>
      </xdr:txBody>
    </xdr:sp>
    <xdr:clientData/>
  </xdr:twoCellAnchor>
  <xdr:twoCellAnchor>
    <xdr:from>
      <xdr:col>0</xdr:col>
      <xdr:colOff>476250</xdr:colOff>
      <xdr:row>13</xdr:row>
      <xdr:rowOff>41275</xdr:rowOff>
    </xdr:from>
    <xdr:to>
      <xdr:col>8</xdr:col>
      <xdr:colOff>2587625</xdr:colOff>
      <xdr:row>15</xdr:row>
      <xdr:rowOff>66675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113327D1-6414-B036-292C-CF5485301F3D}"/>
            </a:ext>
          </a:extLst>
        </xdr:cNvPr>
        <xdr:cNvSpPr txBox="1"/>
      </xdr:nvSpPr>
      <xdr:spPr>
        <a:xfrm>
          <a:off x="476250" y="3441700"/>
          <a:ext cx="8207375" cy="4445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pPr algn="l"/>
          <a:r>
            <a:rPr lang="ko-KR" altLang="en-US" sz="1400">
              <a:latin typeface="굴림체" panose="020B0609000101010101" pitchFamily="49" charset="-127"/>
              <a:ea typeface="굴림체" panose="020B0609000101010101" pitchFamily="49" charset="-127"/>
            </a:rPr>
            <a:t> 공사개요 </a:t>
          </a:r>
          <a:r>
            <a:rPr lang="en-US" altLang="ko-KR" sz="1400">
              <a:latin typeface="굴림체" panose="020B0609000101010101" pitchFamily="49" charset="-127"/>
              <a:ea typeface="굴림체" panose="020B0609000101010101" pitchFamily="49" charset="-127"/>
            </a:rPr>
            <a:t>:</a:t>
          </a:r>
          <a:r>
            <a:rPr lang="ko-KR" altLang="en-US" sz="1400">
              <a:latin typeface="굴림체" panose="020B0609000101010101" pitchFamily="49" charset="-127"/>
              <a:ea typeface="굴림체" panose="020B0609000101010101" pitchFamily="49" charset="-127"/>
            </a:rPr>
            <a:t>사이니지 월 설치 및 사이니지 설치</a:t>
          </a:r>
          <a:r>
            <a:rPr lang="en-US" altLang="ko-KR" sz="1400">
              <a:latin typeface="굴림체" panose="020B0609000101010101" pitchFamily="49" charset="-127"/>
              <a:ea typeface="굴림체" panose="020B0609000101010101" pitchFamily="49" charset="-127"/>
            </a:rPr>
            <a:t>,</a:t>
          </a:r>
          <a:r>
            <a:rPr lang="en-US" altLang="ko-KR" sz="1400" baseline="0">
              <a:latin typeface="굴림체" panose="020B0609000101010101" pitchFamily="49" charset="-127"/>
              <a:ea typeface="굴림체" panose="020B0609000101010101" pitchFamily="49" charset="-127"/>
            </a:rPr>
            <a:t> </a:t>
          </a:r>
          <a:r>
            <a:rPr lang="ko-KR" altLang="en-US" sz="1400" baseline="0">
              <a:latin typeface="굴림체" panose="020B0609000101010101" pitchFamily="49" charset="-127"/>
              <a:ea typeface="굴림체" panose="020B0609000101010101" pitchFamily="49" charset="-127"/>
            </a:rPr>
            <a:t>아트월 설치</a:t>
          </a:r>
          <a:r>
            <a:rPr lang="en-US" altLang="ko-KR" sz="1400" baseline="0">
              <a:latin typeface="굴림체" panose="020B0609000101010101" pitchFamily="49" charset="-127"/>
              <a:ea typeface="굴림체" panose="020B0609000101010101" pitchFamily="49" charset="-127"/>
            </a:rPr>
            <a:t>, </a:t>
          </a:r>
          <a:r>
            <a:rPr lang="ko-KR" altLang="en-US" sz="1400" baseline="0">
              <a:latin typeface="굴림체" panose="020B0609000101010101" pitchFamily="49" charset="-127"/>
              <a:ea typeface="굴림체" panose="020B0609000101010101" pitchFamily="49" charset="-127"/>
            </a:rPr>
            <a:t>기존벽체 마감 및 액자설치 등</a:t>
          </a:r>
          <a:endParaRPr lang="ko-KR" altLang="en-US" sz="1400">
            <a:latin typeface="굴림체" panose="020B0609000101010101" pitchFamily="49" charset="-127"/>
            <a:ea typeface="굴림체" panose="020B0609000101010101" pitchFamily="49" charset="-127"/>
          </a:endParaRPr>
        </a:p>
      </xdr:txBody>
    </xdr:sp>
    <xdr:clientData/>
  </xdr:twoCellAnchor>
  <xdr:twoCellAnchor>
    <xdr:from>
      <xdr:col>0</xdr:col>
      <xdr:colOff>476250</xdr:colOff>
      <xdr:row>19</xdr:row>
      <xdr:rowOff>155575</xdr:rowOff>
    </xdr:from>
    <xdr:to>
      <xdr:col>8</xdr:col>
      <xdr:colOff>2587625</xdr:colOff>
      <xdr:row>21</xdr:row>
      <xdr:rowOff>180975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86FEFD83-CB65-6BC5-7E03-842157BA8314}"/>
            </a:ext>
          </a:extLst>
        </xdr:cNvPr>
        <xdr:cNvSpPr txBox="1"/>
      </xdr:nvSpPr>
      <xdr:spPr>
        <a:xfrm>
          <a:off x="476250" y="4813300"/>
          <a:ext cx="8207375" cy="4445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pPr algn="l"/>
          <a:r>
            <a:rPr lang="ko-KR" altLang="en-US" sz="1400">
              <a:latin typeface="굴림체" panose="020B0609000101010101" pitchFamily="49" charset="-127"/>
              <a:ea typeface="굴림체" panose="020B0609000101010101" pitchFamily="49" charset="-127"/>
            </a:rPr>
            <a:t> 공사금액 </a:t>
          </a:r>
          <a:r>
            <a:rPr lang="en-US" altLang="ko-KR" sz="1400">
              <a:latin typeface="굴림체" panose="020B0609000101010101" pitchFamily="49" charset="-127"/>
              <a:ea typeface="굴림체" panose="020B0609000101010101" pitchFamily="49" charset="-127"/>
            </a:rPr>
            <a:t>: </a:t>
          </a:r>
          <a:r>
            <a:rPr lang="ko-KR" altLang="en-US" sz="1400">
              <a:latin typeface="굴림체" panose="020B0609000101010101" pitchFamily="49" charset="-127"/>
              <a:ea typeface="굴림체" panose="020B0609000101010101" pitchFamily="49" charset="-127"/>
            </a:rPr>
            <a:t>총공사비   </a:t>
          </a:r>
          <a:r>
            <a:rPr lang="en-US" altLang="ko-KR" sz="1400">
              <a:latin typeface="굴림체" panose="020B0609000101010101" pitchFamily="49" charset="-127"/>
              <a:ea typeface="굴림체" panose="020B0609000101010101" pitchFamily="49" charset="-127"/>
            </a:rPr>
            <a:t>: </a:t>
          </a:r>
          <a:r>
            <a:rPr lang="ko-KR" altLang="en-US" sz="1400">
              <a:latin typeface="굴림체" panose="020B0609000101010101" pitchFamily="49" charset="-127"/>
              <a:ea typeface="굴림체" panose="020B0609000101010101" pitchFamily="49" charset="-127"/>
            </a:rPr>
            <a:t>금 이천일백육십삼만원정 </a:t>
          </a:r>
          <a:r>
            <a:rPr lang="en-US" altLang="ko-KR" sz="1400">
              <a:latin typeface="굴림체" panose="020B0609000101010101" pitchFamily="49" charset="-127"/>
              <a:ea typeface="굴림체" panose="020B0609000101010101" pitchFamily="49" charset="-127"/>
            </a:rPr>
            <a:t>(</a:t>
          </a:r>
          <a:r>
            <a:rPr lang="ko-KR" altLang="en-US" sz="1400">
              <a:latin typeface="굴림체" panose="020B0609000101010101" pitchFamily="49" charset="-127"/>
              <a:ea typeface="굴림체" panose="020B0609000101010101" pitchFamily="49" charset="-127"/>
            </a:rPr>
            <a:t>￦</a:t>
          </a:r>
          <a:r>
            <a:rPr lang="en-US" altLang="ko-KR" sz="1400">
              <a:latin typeface="굴림체" panose="020B0609000101010101" pitchFamily="49" charset="-127"/>
              <a:ea typeface="굴림체" panose="020B0609000101010101" pitchFamily="49" charset="-127"/>
            </a:rPr>
            <a:t>19,750,000)</a:t>
          </a:r>
          <a:endParaRPr lang="ko-KR" altLang="en-US" sz="1400">
            <a:latin typeface="굴림체" panose="020B0609000101010101" pitchFamily="49" charset="-127"/>
            <a:ea typeface="굴림체" panose="020B0609000101010101" pitchFamily="49" charset="-127"/>
          </a:endParaRPr>
        </a:p>
      </xdr:txBody>
    </xdr:sp>
    <xdr:clientData/>
  </xdr:twoCellAnchor>
  <xdr:twoCellAnchor>
    <xdr:from>
      <xdr:col>1</xdr:col>
      <xdr:colOff>676275</xdr:colOff>
      <xdr:row>21</xdr:row>
      <xdr:rowOff>10795</xdr:rowOff>
    </xdr:from>
    <xdr:to>
      <xdr:col>8</xdr:col>
      <xdr:colOff>2587625</xdr:colOff>
      <xdr:row>24</xdr:row>
      <xdr:rowOff>144145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BE6F309A-2133-D7BB-D706-29B906F7C416}"/>
            </a:ext>
          </a:extLst>
        </xdr:cNvPr>
        <xdr:cNvSpPr txBox="1"/>
      </xdr:nvSpPr>
      <xdr:spPr>
        <a:xfrm>
          <a:off x="1333500" y="5087620"/>
          <a:ext cx="7350125" cy="7620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pPr algn="l"/>
          <a:r>
            <a:rPr lang="ko-KR" altLang="en-US" sz="1400">
              <a:latin typeface="굴림체" panose="020B0609000101010101" pitchFamily="49" charset="-127"/>
              <a:ea typeface="굴림체" panose="020B0609000101010101" pitchFamily="49" charset="-127"/>
            </a:rPr>
            <a:t>  도급예산액 </a:t>
          </a:r>
          <a:r>
            <a:rPr lang="en-US" altLang="ko-KR" sz="1400">
              <a:latin typeface="굴림체" panose="020B0609000101010101" pitchFamily="49" charset="-127"/>
              <a:ea typeface="굴림체" panose="020B0609000101010101" pitchFamily="49" charset="-127"/>
            </a:rPr>
            <a:t>:                          </a:t>
          </a:r>
          <a:r>
            <a:rPr lang="ko-KR" altLang="en-US" sz="1400">
              <a:latin typeface="굴림체" panose="020B0609000101010101" pitchFamily="49" charset="-127"/>
              <a:ea typeface="굴림체" panose="020B0609000101010101" pitchFamily="49" charset="-127"/>
            </a:rPr>
            <a:t>￦</a:t>
          </a:r>
          <a:r>
            <a:rPr lang="en-US" altLang="ko-KR" sz="1400">
              <a:latin typeface="굴림체" panose="020B0609000101010101" pitchFamily="49" charset="-127"/>
              <a:ea typeface="굴림체" panose="020B0609000101010101" pitchFamily="49" charset="-127"/>
            </a:rPr>
            <a:t>19,750,000</a:t>
          </a:r>
          <a:r>
            <a:rPr lang="ko-KR" altLang="en-US" sz="1400">
              <a:latin typeface="굴림체" panose="020B0609000101010101" pitchFamily="49" charset="-127"/>
              <a:ea typeface="굴림체" panose="020B0609000101010101" pitchFamily="49" charset="-127"/>
            </a:rPr>
            <a:t>원</a:t>
          </a:r>
        </a:p>
        <a:p>
          <a:pPr algn="l"/>
          <a:r>
            <a:rPr lang="ko-KR" altLang="en-US" sz="1400">
              <a:latin typeface="굴림체" panose="020B0609000101010101" pitchFamily="49" charset="-127"/>
              <a:ea typeface="굴림체" panose="020B0609000101010101" pitchFamily="49" charset="-127"/>
            </a:rPr>
            <a:t>  관급자재대 </a:t>
          </a:r>
          <a:r>
            <a:rPr lang="en-US" altLang="ko-KR" sz="1400">
              <a:latin typeface="굴림체" panose="020B0609000101010101" pitchFamily="49" charset="-127"/>
              <a:ea typeface="굴림체" panose="020B0609000101010101" pitchFamily="49" charset="-127"/>
            </a:rPr>
            <a:t>:                          </a:t>
          </a:r>
          <a:r>
            <a:rPr lang="ko-KR" altLang="en-US" sz="1400">
              <a:latin typeface="굴림체" panose="020B0609000101010101" pitchFamily="49" charset="-127"/>
              <a:ea typeface="굴림체" panose="020B0609000101010101" pitchFamily="49" charset="-127"/>
            </a:rPr>
            <a:t>￦         </a:t>
          </a:r>
          <a:r>
            <a:rPr lang="en-US" altLang="ko-KR" sz="1400">
              <a:latin typeface="굴림체" panose="020B0609000101010101" pitchFamily="49" charset="-127"/>
              <a:ea typeface="굴림체" panose="020B0609000101010101" pitchFamily="49" charset="-127"/>
            </a:rPr>
            <a:t>0</a:t>
          </a:r>
          <a:r>
            <a:rPr lang="ko-KR" altLang="en-US" sz="1400">
              <a:latin typeface="굴림체" panose="020B0609000101010101" pitchFamily="49" charset="-127"/>
              <a:ea typeface="굴림체" panose="020B0609000101010101" pitchFamily="49" charset="-127"/>
            </a:rPr>
            <a:t>원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B7"/>
    <pageSetUpPr fitToPage="1"/>
  </sheetPr>
  <dimension ref="A3:L29"/>
  <sheetViews>
    <sheetView tabSelected="1" workbookViewId="0">
      <selection activeCell="L5" sqref="L5"/>
    </sheetView>
  </sheetViews>
  <sheetFormatPr defaultRowHeight="16.5" x14ac:dyDescent="0.3"/>
  <cols>
    <col min="1" max="1" width="8.625" customWidth="1"/>
    <col min="2" max="2" width="11.375" customWidth="1"/>
    <col min="3" max="3" width="8.625" customWidth="1"/>
    <col min="4" max="4" width="11.375" customWidth="1"/>
    <col min="5" max="5" width="8.625" customWidth="1"/>
    <col min="6" max="6" width="11.375" customWidth="1"/>
    <col min="7" max="7" width="8.625" customWidth="1"/>
    <col min="8" max="8" width="11.375" customWidth="1"/>
    <col min="9" max="9" width="35.625" customWidth="1"/>
  </cols>
  <sheetData>
    <row r="3" spans="1:12" ht="69.95" customHeight="1" x14ac:dyDescent="0.3">
      <c r="A3" s="24" t="s">
        <v>176</v>
      </c>
      <c r="B3" s="25"/>
      <c r="C3" s="24" t="s">
        <v>177</v>
      </c>
      <c r="D3" s="25"/>
      <c r="E3" s="24" t="s">
        <v>178</v>
      </c>
      <c r="F3" s="25"/>
      <c r="G3" s="24" t="s">
        <v>179</v>
      </c>
      <c r="H3" s="25"/>
      <c r="I3" s="26" t="s">
        <v>180</v>
      </c>
      <c r="J3" s="2"/>
    </row>
    <row r="4" spans="1:12" ht="14.65" customHeight="1" x14ac:dyDescent="0.3">
      <c r="A4" s="40"/>
      <c r="B4" s="40"/>
      <c r="C4" s="40"/>
      <c r="D4" s="40"/>
      <c r="E4" s="40"/>
      <c r="F4" s="40"/>
      <c r="G4" s="40"/>
      <c r="H4" s="40"/>
      <c r="I4" s="40"/>
    </row>
    <row r="5" spans="1:12" ht="14.65" customHeight="1" x14ac:dyDescent="0.3">
      <c r="A5" s="41"/>
      <c r="B5" s="41"/>
      <c r="C5" s="41"/>
      <c r="D5" s="41"/>
      <c r="E5" s="41"/>
      <c r="F5" s="41"/>
      <c r="G5" s="41"/>
      <c r="H5" s="41"/>
      <c r="I5" s="41"/>
      <c r="J5" s="27"/>
      <c r="K5" s="27"/>
      <c r="L5" s="27"/>
    </row>
    <row r="6" spans="1:12" ht="14.65" customHeight="1" x14ac:dyDescent="0.3">
      <c r="A6" s="41"/>
      <c r="B6" s="41"/>
      <c r="C6" s="41"/>
      <c r="D6" s="41"/>
      <c r="E6" s="41"/>
      <c r="F6" s="41"/>
      <c r="G6" s="41"/>
      <c r="H6" s="41"/>
      <c r="I6" s="41"/>
      <c r="J6" s="27"/>
      <c r="K6" s="27"/>
      <c r="L6" s="27"/>
    </row>
    <row r="7" spans="1:12" ht="14.65" customHeight="1" x14ac:dyDescent="0.3">
      <c r="A7" s="41"/>
      <c r="B7" s="41"/>
      <c r="C7" s="41"/>
      <c r="D7" s="41"/>
      <c r="E7" s="41"/>
      <c r="F7" s="41"/>
      <c r="G7" s="41"/>
      <c r="H7" s="41"/>
      <c r="I7" s="41"/>
      <c r="J7" s="27"/>
      <c r="K7" s="27"/>
      <c r="L7" s="27"/>
    </row>
    <row r="8" spans="1:12" ht="14.65" customHeight="1" x14ac:dyDescent="0.3">
      <c r="A8" s="41"/>
      <c r="B8" s="41"/>
      <c r="C8" s="41"/>
      <c r="D8" s="41"/>
      <c r="E8" s="41"/>
      <c r="F8" s="41"/>
      <c r="G8" s="41"/>
      <c r="H8" s="41"/>
      <c r="I8" s="41"/>
      <c r="J8" s="27"/>
      <c r="K8" s="27"/>
      <c r="L8" s="27"/>
    </row>
    <row r="9" spans="1:12" ht="14.65" customHeight="1" x14ac:dyDescent="0.3">
      <c r="A9" s="41"/>
      <c r="B9" s="41"/>
      <c r="C9" s="41"/>
      <c r="D9" s="41"/>
      <c r="E9" s="41"/>
      <c r="F9" s="41"/>
      <c r="G9" s="41"/>
      <c r="H9" s="41"/>
      <c r="I9" s="41"/>
      <c r="J9" s="27"/>
      <c r="K9" s="27"/>
      <c r="L9" s="27"/>
    </row>
    <row r="10" spans="1:12" ht="14.65" customHeight="1" x14ac:dyDescent="0.3">
      <c r="A10" s="41"/>
      <c r="B10" s="41"/>
      <c r="C10" s="41"/>
      <c r="D10" s="41"/>
      <c r="E10" s="41"/>
      <c r="F10" s="41"/>
      <c r="G10" s="41"/>
      <c r="H10" s="41"/>
      <c r="I10" s="41"/>
      <c r="J10" s="27"/>
      <c r="K10" s="27"/>
      <c r="L10" s="27"/>
    </row>
    <row r="11" spans="1:12" ht="14.65" customHeight="1" x14ac:dyDescent="0.3">
      <c r="A11" s="41"/>
      <c r="B11" s="41"/>
      <c r="C11" s="41"/>
      <c r="D11" s="41"/>
      <c r="E11" s="41"/>
      <c r="F11" s="41"/>
      <c r="G11" s="41"/>
      <c r="H11" s="41"/>
      <c r="I11" s="41"/>
      <c r="J11" s="27"/>
      <c r="K11" s="27"/>
      <c r="L11" s="27"/>
    </row>
    <row r="12" spans="1:12" ht="14.65" customHeight="1" x14ac:dyDescent="0.3">
      <c r="A12" s="41"/>
      <c r="B12" s="41"/>
      <c r="C12" s="41"/>
      <c r="D12" s="41"/>
      <c r="E12" s="41"/>
      <c r="F12" s="41"/>
      <c r="G12" s="41"/>
      <c r="H12" s="41"/>
      <c r="I12" s="41"/>
      <c r="J12" s="27"/>
      <c r="K12" s="27"/>
      <c r="L12" s="27"/>
    </row>
    <row r="13" spans="1:12" ht="14.65" customHeight="1" x14ac:dyDescent="0.3">
      <c r="A13" s="41"/>
      <c r="B13" s="41"/>
      <c r="C13" s="41"/>
      <c r="D13" s="41"/>
      <c r="E13" s="41"/>
      <c r="F13" s="41"/>
      <c r="G13" s="41"/>
      <c r="H13" s="41"/>
      <c r="I13" s="41"/>
      <c r="J13" s="27"/>
      <c r="K13" s="27"/>
      <c r="L13" s="27"/>
    </row>
    <row r="14" spans="1:12" ht="14.65" customHeight="1" x14ac:dyDescent="0.3">
      <c r="A14" s="41"/>
      <c r="B14" s="41"/>
      <c r="C14" s="41"/>
      <c r="D14" s="41"/>
      <c r="E14" s="41"/>
      <c r="F14" s="41"/>
      <c r="G14" s="41"/>
      <c r="H14" s="41"/>
      <c r="I14" s="41"/>
      <c r="J14" s="27"/>
      <c r="K14" s="27"/>
      <c r="L14" s="27"/>
    </row>
    <row r="15" spans="1:12" ht="14.65" customHeight="1" x14ac:dyDescent="0.3">
      <c r="A15" s="41"/>
      <c r="B15" s="41"/>
      <c r="C15" s="41"/>
      <c r="D15" s="41"/>
      <c r="E15" s="41"/>
      <c r="F15" s="41"/>
      <c r="G15" s="41"/>
      <c r="H15" s="41"/>
      <c r="I15" s="41"/>
      <c r="J15" s="27"/>
      <c r="K15" s="27"/>
      <c r="L15" s="27"/>
    </row>
    <row r="16" spans="1:12" ht="14.65" customHeight="1" x14ac:dyDescent="0.3">
      <c r="A16" s="41"/>
      <c r="B16" s="41"/>
      <c r="C16" s="41"/>
      <c r="D16" s="41"/>
      <c r="E16" s="41"/>
      <c r="F16" s="41"/>
      <c r="G16" s="41"/>
      <c r="H16" s="41"/>
      <c r="I16" s="41"/>
      <c r="J16" s="27"/>
      <c r="K16" s="27"/>
      <c r="L16" s="27"/>
    </row>
    <row r="17" spans="1:12" ht="14.65" customHeight="1" x14ac:dyDescent="0.3">
      <c r="A17" s="41"/>
      <c r="B17" s="41"/>
      <c r="C17" s="41"/>
      <c r="D17" s="41"/>
      <c r="E17" s="41"/>
      <c r="F17" s="41"/>
      <c r="G17" s="41"/>
      <c r="H17" s="41"/>
      <c r="I17" s="41"/>
      <c r="J17" s="27"/>
      <c r="K17" s="27"/>
      <c r="L17" s="27"/>
    </row>
    <row r="18" spans="1:12" ht="14.65" customHeight="1" x14ac:dyDescent="0.3">
      <c r="A18" s="41"/>
      <c r="B18" s="41"/>
      <c r="C18" s="41"/>
      <c r="D18" s="41"/>
      <c r="E18" s="41"/>
      <c r="F18" s="41"/>
      <c r="G18" s="41"/>
      <c r="H18" s="41"/>
      <c r="I18" s="41"/>
      <c r="J18" s="27"/>
      <c r="K18" s="27"/>
      <c r="L18" s="27"/>
    </row>
    <row r="19" spans="1:12" ht="14.65" customHeight="1" x14ac:dyDescent="0.3">
      <c r="A19" s="41"/>
      <c r="B19" s="41"/>
      <c r="C19" s="41"/>
      <c r="D19" s="41"/>
      <c r="E19" s="41"/>
      <c r="F19" s="41"/>
      <c r="G19" s="41"/>
      <c r="H19" s="41"/>
      <c r="I19" s="41"/>
      <c r="J19" s="27"/>
      <c r="K19" s="27"/>
      <c r="L19" s="27"/>
    </row>
    <row r="20" spans="1:12" ht="14.65" customHeight="1" x14ac:dyDescent="0.3">
      <c r="A20" s="41"/>
      <c r="B20" s="41"/>
      <c r="C20" s="41"/>
      <c r="D20" s="41"/>
      <c r="E20" s="41"/>
      <c r="F20" s="41"/>
      <c r="G20" s="41"/>
      <c r="H20" s="41"/>
      <c r="I20" s="41"/>
      <c r="J20" s="27"/>
      <c r="K20" s="27"/>
      <c r="L20" s="27"/>
    </row>
    <row r="21" spans="1:12" ht="14.65" customHeight="1" x14ac:dyDescent="0.3">
      <c r="A21" s="40"/>
      <c r="B21" s="40"/>
      <c r="C21" s="40"/>
      <c r="D21" s="40"/>
      <c r="E21" s="40"/>
      <c r="F21" s="40"/>
      <c r="G21" s="40"/>
      <c r="H21" s="40"/>
      <c r="I21" s="40"/>
    </row>
    <row r="22" spans="1:12" ht="14.65" customHeight="1" x14ac:dyDescent="0.3">
      <c r="A22" s="40"/>
      <c r="B22" s="40"/>
      <c r="C22" s="40"/>
      <c r="D22" s="40"/>
      <c r="E22" s="40"/>
      <c r="F22" s="40"/>
      <c r="G22" s="40"/>
      <c r="H22" s="40"/>
      <c r="I22" s="40"/>
    </row>
    <row r="23" spans="1:12" ht="14.65" customHeight="1" x14ac:dyDescent="0.3">
      <c r="A23" s="40"/>
      <c r="B23" s="40"/>
      <c r="C23" s="40"/>
      <c r="D23" s="40"/>
      <c r="E23" s="40"/>
      <c r="F23" s="40"/>
      <c r="G23" s="40"/>
      <c r="H23" s="40"/>
      <c r="I23" s="40"/>
    </row>
    <row r="24" spans="1:12" ht="14.65" customHeight="1" x14ac:dyDescent="0.3">
      <c r="A24" s="40"/>
      <c r="B24" s="40"/>
      <c r="C24" s="40"/>
      <c r="D24" s="40"/>
      <c r="E24" s="40"/>
      <c r="F24" s="40"/>
      <c r="G24" s="40"/>
      <c r="H24" s="40"/>
      <c r="I24" s="40"/>
    </row>
    <row r="25" spans="1:12" ht="14.65" customHeight="1" x14ac:dyDescent="0.3">
      <c r="A25" s="40"/>
      <c r="B25" s="40"/>
      <c r="C25" s="40"/>
      <c r="D25" s="40"/>
      <c r="E25" s="40"/>
      <c r="F25" s="40"/>
      <c r="G25" s="40"/>
      <c r="H25" s="40"/>
      <c r="I25" s="40"/>
    </row>
    <row r="26" spans="1:12" ht="14.65" customHeight="1" x14ac:dyDescent="0.3">
      <c r="A26" s="40"/>
      <c r="B26" s="40"/>
      <c r="C26" s="40"/>
      <c r="D26" s="40"/>
      <c r="E26" s="40"/>
      <c r="F26" s="40"/>
      <c r="G26" s="40"/>
      <c r="H26" s="40"/>
      <c r="I26" s="40"/>
    </row>
    <row r="27" spans="1:12" ht="14.65" customHeight="1" x14ac:dyDescent="0.3">
      <c r="A27" s="40"/>
      <c r="B27" s="40"/>
      <c r="C27" s="40"/>
      <c r="D27" s="40"/>
      <c r="E27" s="40"/>
      <c r="F27" s="40"/>
      <c r="G27" s="40"/>
      <c r="H27" s="40"/>
      <c r="I27" s="40"/>
    </row>
    <row r="28" spans="1:12" ht="14.65" customHeight="1" x14ac:dyDescent="0.3">
      <c r="A28" s="40"/>
      <c r="B28" s="40"/>
      <c r="C28" s="40"/>
      <c r="D28" s="40"/>
      <c r="E28" s="40"/>
      <c r="F28" s="40"/>
      <c r="G28" s="40"/>
      <c r="H28" s="40"/>
      <c r="I28" s="40"/>
    </row>
    <row r="29" spans="1:12" ht="14.65" customHeight="1" x14ac:dyDescent="0.3">
      <c r="A29" s="40"/>
      <c r="B29" s="40"/>
      <c r="C29" s="40"/>
      <c r="D29" s="40"/>
      <c r="E29" s="40"/>
      <c r="F29" s="40"/>
      <c r="G29" s="40"/>
      <c r="H29" s="40"/>
      <c r="I29" s="40"/>
    </row>
  </sheetData>
  <mergeCells count="1">
    <mergeCell ref="A4:I29"/>
  </mergeCells>
  <phoneticPr fontId="1" type="noConversion"/>
  <pageMargins left="0.97340194680389358" right="0.97340194680389358" top="0.73718147436294867" bottom="0.1388888888888889" header="0.3" footer="0.1388888888888889"/>
  <pageSetup paperSize="9" scale="98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19D86"/>
  </sheetPr>
  <dimension ref="A1:J37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E33" sqref="E33"/>
    </sheetView>
  </sheetViews>
  <sheetFormatPr defaultRowHeight="16.5" x14ac:dyDescent="0.3"/>
  <cols>
    <col min="1" max="2" width="3.625" customWidth="1"/>
    <col min="3" max="3" width="15.625" style="1" customWidth="1"/>
    <col min="4" max="4" width="46.5" style="1" customWidth="1"/>
    <col min="5" max="5" width="25.625" style="3" customWidth="1"/>
    <col min="6" max="6" width="19.625" style="1" customWidth="1"/>
    <col min="7" max="8" width="0" hidden="1" customWidth="1"/>
    <col min="9" max="9" width="10.625" hidden="1" customWidth="1"/>
    <col min="10" max="10" width="11.875" hidden="1" customWidth="1"/>
    <col min="11" max="11" width="15.375" customWidth="1"/>
  </cols>
  <sheetData>
    <row r="1" spans="1:9" ht="30" customHeight="1" x14ac:dyDescent="0.3">
      <c r="A1" s="46" t="s">
        <v>181</v>
      </c>
      <c r="B1" s="46"/>
      <c r="C1" s="46"/>
      <c r="D1" s="46"/>
      <c r="E1" s="46"/>
      <c r="F1" s="46"/>
    </row>
    <row r="2" spans="1:9" ht="16.149999999999999" customHeight="1" x14ac:dyDescent="0.3">
      <c r="A2" s="47" t="s">
        <v>1</v>
      </c>
      <c r="B2" s="48"/>
      <c r="C2" s="48"/>
      <c r="D2" s="48"/>
      <c r="E2" s="48"/>
      <c r="F2" s="48"/>
    </row>
    <row r="3" spans="1:9" ht="12" customHeight="1" x14ac:dyDescent="0.3">
      <c r="A3" s="49" t="s">
        <v>182</v>
      </c>
      <c r="B3" s="50"/>
      <c r="C3" s="51"/>
      <c r="D3" s="55" t="s">
        <v>183</v>
      </c>
      <c r="E3" s="55" t="s">
        <v>184</v>
      </c>
      <c r="F3" s="55" t="s">
        <v>185</v>
      </c>
    </row>
    <row r="4" spans="1:9" ht="12" customHeight="1" x14ac:dyDescent="0.3">
      <c r="A4" s="52"/>
      <c r="B4" s="53"/>
      <c r="C4" s="54"/>
      <c r="D4" s="55"/>
      <c r="E4" s="55"/>
      <c r="F4" s="55"/>
    </row>
    <row r="5" spans="1:9" ht="16.149999999999999" customHeight="1" x14ac:dyDescent="0.3">
      <c r="A5" s="56" t="s">
        <v>252</v>
      </c>
      <c r="B5" s="56" t="s">
        <v>249</v>
      </c>
      <c r="C5" s="28" t="s">
        <v>186</v>
      </c>
      <c r="D5" s="28" t="s">
        <v>113</v>
      </c>
      <c r="E5" s="29">
        <f>ROUNDDOWN(집계표!E20-집계표!AU20, 0)</f>
        <v>12694407</v>
      </c>
      <c r="F5" s="28" t="s">
        <v>113</v>
      </c>
      <c r="G5" s="11" t="s">
        <v>187</v>
      </c>
      <c r="H5">
        <v>0</v>
      </c>
      <c r="I5">
        <f t="shared" ref="I5:I29" si="0">E5</f>
        <v>12694407</v>
      </c>
    </row>
    <row r="6" spans="1:9" ht="16.149999999999999" customHeight="1" x14ac:dyDescent="0.3">
      <c r="A6" s="57"/>
      <c r="B6" s="57"/>
      <c r="C6" s="30" t="s">
        <v>188</v>
      </c>
      <c r="D6" s="30" t="s">
        <v>113</v>
      </c>
      <c r="E6" s="31">
        <f>ROUNDDOWN(E5*H6, 0)</f>
        <v>0</v>
      </c>
      <c r="F6" s="30" t="s">
        <v>113</v>
      </c>
      <c r="G6" s="11" t="s">
        <v>189</v>
      </c>
      <c r="H6">
        <v>0</v>
      </c>
      <c r="I6">
        <f t="shared" si="0"/>
        <v>0</v>
      </c>
    </row>
    <row r="7" spans="1:9" ht="16.149999999999999" customHeight="1" x14ac:dyDescent="0.3">
      <c r="A7" s="58"/>
      <c r="B7" s="58"/>
      <c r="C7" s="32" t="s">
        <v>190</v>
      </c>
      <c r="D7" s="32" t="s">
        <v>113</v>
      </c>
      <c r="E7" s="33">
        <f>집계표!S20</f>
        <v>0</v>
      </c>
      <c r="F7" s="32" t="s">
        <v>113</v>
      </c>
      <c r="G7" s="11" t="s">
        <v>191</v>
      </c>
      <c r="H7">
        <v>0</v>
      </c>
      <c r="I7">
        <f t="shared" si="0"/>
        <v>0</v>
      </c>
    </row>
    <row r="8" spans="1:9" ht="16.149999999999999" customHeight="1" x14ac:dyDescent="0.3">
      <c r="A8" s="59"/>
      <c r="B8" s="59"/>
      <c r="C8" s="34" t="s">
        <v>192</v>
      </c>
      <c r="D8" s="34" t="s">
        <v>113</v>
      </c>
      <c r="E8" s="21">
        <f>SUM(E5:E6)-ABS(E7)</f>
        <v>12694407</v>
      </c>
      <c r="F8" s="34" t="s">
        <v>113</v>
      </c>
      <c r="G8" s="11" t="s">
        <v>193</v>
      </c>
      <c r="H8">
        <v>0</v>
      </c>
      <c r="I8">
        <f t="shared" si="0"/>
        <v>12694407</v>
      </c>
    </row>
    <row r="9" spans="1:9" ht="16.149999999999999" customHeight="1" x14ac:dyDescent="0.3">
      <c r="A9" s="60"/>
      <c r="B9" s="56" t="s">
        <v>250</v>
      </c>
      <c r="C9" s="28" t="s">
        <v>194</v>
      </c>
      <c r="D9" s="28" t="s">
        <v>113</v>
      </c>
      <c r="E9" s="29">
        <f>ROUNDDOWN(집계표!G20, 0)</f>
        <v>2276072</v>
      </c>
      <c r="F9" s="28" t="s">
        <v>113</v>
      </c>
      <c r="G9" s="11" t="s">
        <v>195</v>
      </c>
      <c r="H9">
        <v>0</v>
      </c>
      <c r="I9">
        <f t="shared" si="0"/>
        <v>2276072</v>
      </c>
    </row>
    <row r="10" spans="1:9" ht="16.149999999999999" customHeight="1" x14ac:dyDescent="0.3">
      <c r="A10" s="58"/>
      <c r="B10" s="58"/>
      <c r="C10" s="32" t="s">
        <v>196</v>
      </c>
      <c r="D10" s="35" t="str">
        <f>"직.노*"&amp;H10*100&amp;"%"</f>
        <v>직.노*12.2%</v>
      </c>
      <c r="E10" s="33">
        <f>ROUNDDOWN(E9*H10, 0)</f>
        <v>277680</v>
      </c>
      <c r="F10" s="32" t="s">
        <v>113</v>
      </c>
      <c r="G10" s="11" t="s">
        <v>197</v>
      </c>
      <c r="H10">
        <v>0.122</v>
      </c>
      <c r="I10">
        <f t="shared" si="0"/>
        <v>277680</v>
      </c>
    </row>
    <row r="11" spans="1:9" ht="16.149999999999999" customHeight="1" x14ac:dyDescent="0.3">
      <c r="A11" s="59"/>
      <c r="B11" s="59"/>
      <c r="C11" s="34" t="s">
        <v>192</v>
      </c>
      <c r="D11" s="34" t="s">
        <v>113</v>
      </c>
      <c r="E11" s="21">
        <f>SUM(E9:E10)</f>
        <v>2553752</v>
      </c>
      <c r="F11" s="34" t="s">
        <v>113</v>
      </c>
      <c r="G11" s="11" t="s">
        <v>198</v>
      </c>
      <c r="H11">
        <v>0</v>
      </c>
      <c r="I11">
        <f t="shared" si="0"/>
        <v>2553752</v>
      </c>
    </row>
    <row r="12" spans="1:9" ht="16.149999999999999" customHeight="1" x14ac:dyDescent="0.3">
      <c r="A12" s="60"/>
      <c r="B12" s="56" t="s">
        <v>251</v>
      </c>
      <c r="C12" s="28" t="s">
        <v>199</v>
      </c>
      <c r="D12" s="28" t="s">
        <v>113</v>
      </c>
      <c r="E12" s="29">
        <f>ROUNDDOWN(집계표!I20, 0)</f>
        <v>42594</v>
      </c>
      <c r="F12" s="28" t="s">
        <v>113</v>
      </c>
      <c r="G12" s="11" t="s">
        <v>200</v>
      </c>
      <c r="H12">
        <v>0</v>
      </c>
      <c r="I12">
        <f t="shared" si="0"/>
        <v>42594</v>
      </c>
    </row>
    <row r="13" spans="1:9" ht="16.149999999999999" customHeight="1" x14ac:dyDescent="0.3">
      <c r="A13" s="57"/>
      <c r="B13" s="57"/>
      <c r="C13" s="30" t="s">
        <v>201</v>
      </c>
      <c r="D13" s="36" t="str">
        <f>"(노)*"&amp;H13*100&amp;"%"</f>
        <v>(노)*3.56%</v>
      </c>
      <c r="E13" s="31">
        <f>ROUNDDOWN((E11)*H13, 0)</f>
        <v>90913</v>
      </c>
      <c r="F13" s="30" t="s">
        <v>113</v>
      </c>
      <c r="G13" s="11" t="s">
        <v>202</v>
      </c>
      <c r="H13">
        <v>3.56E-2</v>
      </c>
      <c r="I13">
        <f t="shared" si="0"/>
        <v>90913</v>
      </c>
    </row>
    <row r="14" spans="1:9" ht="16.149999999999999" customHeight="1" x14ac:dyDescent="0.3">
      <c r="A14" s="57"/>
      <c r="B14" s="57"/>
      <c r="C14" s="30" t="s">
        <v>203</v>
      </c>
      <c r="D14" s="36" t="str">
        <f>"(노)*"&amp;H14*100&amp;"%"</f>
        <v>(노)*1.01%</v>
      </c>
      <c r="E14" s="31">
        <f>ROUNDDOWN((E11)*H14, 0)</f>
        <v>25792</v>
      </c>
      <c r="F14" s="30" t="s">
        <v>113</v>
      </c>
      <c r="G14" s="11" t="s">
        <v>204</v>
      </c>
      <c r="H14">
        <v>1.01E-2</v>
      </c>
      <c r="I14">
        <f t="shared" si="0"/>
        <v>25792</v>
      </c>
    </row>
    <row r="15" spans="1:9" ht="16.149999999999999" customHeight="1" x14ac:dyDescent="0.3">
      <c r="A15" s="57"/>
      <c r="B15" s="57"/>
      <c r="C15" s="30" t="s">
        <v>205</v>
      </c>
      <c r="D15" s="30" t="s">
        <v>113</v>
      </c>
      <c r="E15" s="31">
        <f>ROUNDDOWN((E9)*H15, 0)</f>
        <v>0</v>
      </c>
      <c r="F15" s="30" t="s">
        <v>113</v>
      </c>
      <c r="G15" s="11" t="s">
        <v>206</v>
      </c>
      <c r="H15">
        <v>0</v>
      </c>
      <c r="I15">
        <f t="shared" si="0"/>
        <v>0</v>
      </c>
    </row>
    <row r="16" spans="1:9" ht="16.149999999999999" customHeight="1" x14ac:dyDescent="0.3">
      <c r="A16" s="57"/>
      <c r="B16" s="57"/>
      <c r="C16" s="30" t="s">
        <v>207</v>
      </c>
      <c r="D16" s="30" t="s">
        <v>113</v>
      </c>
      <c r="E16" s="31">
        <f>ROUNDDOWN((E9)*H16, 0)</f>
        <v>0</v>
      </c>
      <c r="F16" s="30" t="s">
        <v>113</v>
      </c>
      <c r="G16" s="11" t="s">
        <v>208</v>
      </c>
      <c r="H16">
        <v>0</v>
      </c>
      <c r="I16">
        <f t="shared" si="0"/>
        <v>0</v>
      </c>
    </row>
    <row r="17" spans="1:10" ht="16.149999999999999" customHeight="1" x14ac:dyDescent="0.3">
      <c r="A17" s="57"/>
      <c r="B17" s="57"/>
      <c r="C17" s="30" t="s">
        <v>209</v>
      </c>
      <c r="D17" s="30" t="s">
        <v>113</v>
      </c>
      <c r="E17" s="31">
        <f>ROUNDDOWN((E15)*H17, 0)</f>
        <v>0</v>
      </c>
      <c r="F17" s="30" t="s">
        <v>113</v>
      </c>
      <c r="G17" s="11" t="s">
        <v>210</v>
      </c>
      <c r="H17">
        <v>0</v>
      </c>
      <c r="I17">
        <f t="shared" si="0"/>
        <v>0</v>
      </c>
    </row>
    <row r="18" spans="1:10" ht="16.149999999999999" customHeight="1" x14ac:dyDescent="0.3">
      <c r="A18" s="57"/>
      <c r="B18" s="57"/>
      <c r="C18" s="30" t="s">
        <v>211</v>
      </c>
      <c r="D18" s="30" t="s">
        <v>113</v>
      </c>
      <c r="E18" s="31">
        <f>ROUNDDOWN((E9)*H18, 0)</f>
        <v>0</v>
      </c>
      <c r="F18" s="30" t="s">
        <v>113</v>
      </c>
      <c r="G18" s="11" t="s">
        <v>212</v>
      </c>
      <c r="H18">
        <v>0</v>
      </c>
      <c r="I18">
        <f t="shared" si="0"/>
        <v>0</v>
      </c>
    </row>
    <row r="19" spans="1:10" ht="16.149999999999999" customHeight="1" x14ac:dyDescent="0.3">
      <c r="A19" s="57"/>
      <c r="B19" s="57"/>
      <c r="C19" s="30" t="s">
        <v>213</v>
      </c>
      <c r="D19" s="30" t="s">
        <v>113</v>
      </c>
      <c r="E19" s="31">
        <f>ROUNDDOWN((E8+E9+(E34-0)/1.1)*H19, 0)</f>
        <v>0</v>
      </c>
      <c r="F19" s="30" t="s">
        <v>113</v>
      </c>
      <c r="G19" s="11" t="s">
        <v>214</v>
      </c>
      <c r="H19">
        <v>0</v>
      </c>
      <c r="I19">
        <f t="shared" si="0"/>
        <v>0</v>
      </c>
    </row>
    <row r="20" spans="1:10" ht="16.149999999999999" customHeight="1" x14ac:dyDescent="0.3">
      <c r="A20" s="57"/>
      <c r="B20" s="57"/>
      <c r="C20" s="30" t="s">
        <v>215</v>
      </c>
      <c r="D20" s="36" t="str">
        <f>"(재+노)*"&amp;H20*100&amp;"%"</f>
        <v>(재+노)*5.8%</v>
      </c>
      <c r="E20" s="31">
        <f>ROUNDDOWN((E8+E11)*H20, 0)</f>
        <v>884393</v>
      </c>
      <c r="F20" s="30" t="s">
        <v>113</v>
      </c>
      <c r="G20" s="11" t="s">
        <v>216</v>
      </c>
      <c r="H20">
        <v>5.7999999999999996E-2</v>
      </c>
      <c r="I20">
        <f t="shared" si="0"/>
        <v>884393</v>
      </c>
    </row>
    <row r="21" spans="1:10" ht="16.149999999999999" customHeight="1" x14ac:dyDescent="0.3">
      <c r="A21" s="57"/>
      <c r="B21" s="57"/>
      <c r="C21" s="30" t="s">
        <v>217</v>
      </c>
      <c r="D21" s="30" t="s">
        <v>113</v>
      </c>
      <c r="E21" s="31">
        <f>ROUNDDOWN((E8+E9+E12)*H21, 0)</f>
        <v>0</v>
      </c>
      <c r="F21" s="30" t="s">
        <v>113</v>
      </c>
      <c r="G21" s="11" t="s">
        <v>218</v>
      </c>
      <c r="H21">
        <v>0</v>
      </c>
      <c r="I21">
        <f t="shared" si="0"/>
        <v>0</v>
      </c>
    </row>
    <row r="22" spans="1:10" ht="16.149999999999999" customHeight="1" x14ac:dyDescent="0.3">
      <c r="A22" s="57"/>
      <c r="B22" s="57"/>
      <c r="C22" s="30" t="s">
        <v>219</v>
      </c>
      <c r="D22" s="30" t="s">
        <v>113</v>
      </c>
      <c r="E22" s="31">
        <f>ROUNDDOWN((E8+E9+E12)*H22, 0)</f>
        <v>0</v>
      </c>
      <c r="F22" s="30" t="s">
        <v>113</v>
      </c>
      <c r="G22" s="11" t="s">
        <v>220</v>
      </c>
      <c r="H22">
        <v>0</v>
      </c>
      <c r="I22">
        <f t="shared" si="0"/>
        <v>0</v>
      </c>
    </row>
    <row r="23" spans="1:10" ht="16.149999999999999" customHeight="1" x14ac:dyDescent="0.3">
      <c r="A23" s="57"/>
      <c r="B23" s="57"/>
      <c r="C23" s="30" t="s">
        <v>221</v>
      </c>
      <c r="D23" s="36"/>
      <c r="E23" s="31"/>
      <c r="F23" s="30" t="s">
        <v>113</v>
      </c>
      <c r="G23" s="11" t="s">
        <v>222</v>
      </c>
      <c r="H23">
        <v>1.4099999999999998E-4</v>
      </c>
      <c r="I23">
        <f t="shared" si="0"/>
        <v>0</v>
      </c>
    </row>
    <row r="24" spans="1:10" ht="27.75" hidden="1" customHeight="1" x14ac:dyDescent="0.3">
      <c r="A24" s="57"/>
      <c r="B24" s="57"/>
      <c r="C24" s="30" t="s">
        <v>223</v>
      </c>
      <c r="D24" s="30" t="s">
        <v>113</v>
      </c>
      <c r="E24" s="31">
        <f>ROUNDDOWN((E8+E9+E12)*H24, 0)</f>
        <v>0</v>
      </c>
      <c r="F24" s="30" t="s">
        <v>113</v>
      </c>
      <c r="G24" s="11" t="s">
        <v>224</v>
      </c>
      <c r="H24">
        <v>0</v>
      </c>
      <c r="I24">
        <f t="shared" si="0"/>
        <v>0</v>
      </c>
    </row>
    <row r="25" spans="1:10" ht="16.149999999999999" hidden="1" customHeight="1" x14ac:dyDescent="0.3">
      <c r="A25" s="57"/>
      <c r="B25" s="57"/>
      <c r="C25" s="30" t="s">
        <v>225</v>
      </c>
      <c r="D25" s="30" t="s">
        <v>113</v>
      </c>
      <c r="E25" s="31">
        <f>집계표!AD20</f>
        <v>0</v>
      </c>
      <c r="F25" s="30" t="s">
        <v>113</v>
      </c>
      <c r="G25" s="11" t="s">
        <v>226</v>
      </c>
      <c r="H25">
        <v>0</v>
      </c>
      <c r="I25">
        <f t="shared" si="0"/>
        <v>0</v>
      </c>
    </row>
    <row r="26" spans="1:10" ht="16.149999999999999" hidden="1" customHeight="1" x14ac:dyDescent="0.3">
      <c r="A26" s="58"/>
      <c r="B26" s="58"/>
      <c r="C26" s="32" t="s">
        <v>227</v>
      </c>
      <c r="D26" s="32" t="s">
        <v>113</v>
      </c>
      <c r="E26" s="33">
        <f>집계표!AE20</f>
        <v>0</v>
      </c>
      <c r="F26" s="32" t="s">
        <v>113</v>
      </c>
      <c r="G26" s="11" t="s">
        <v>228</v>
      </c>
      <c r="H26">
        <v>0</v>
      </c>
      <c r="I26">
        <f t="shared" si="0"/>
        <v>0</v>
      </c>
    </row>
    <row r="27" spans="1:10" ht="16.149999999999999" customHeight="1" x14ac:dyDescent="0.3">
      <c r="A27" s="59"/>
      <c r="B27" s="59"/>
      <c r="C27" s="34" t="s">
        <v>192</v>
      </c>
      <c r="D27" s="34" t="s">
        <v>113</v>
      </c>
      <c r="E27" s="21">
        <f>SUM(E12:E26)</f>
        <v>1043692</v>
      </c>
      <c r="F27" s="34" t="s">
        <v>113</v>
      </c>
      <c r="G27" s="11" t="s">
        <v>229</v>
      </c>
      <c r="H27">
        <v>0</v>
      </c>
      <c r="I27">
        <f t="shared" si="0"/>
        <v>1043692</v>
      </c>
    </row>
    <row r="28" spans="1:10" ht="16.149999999999999" customHeight="1" x14ac:dyDescent="0.3">
      <c r="A28" s="59"/>
      <c r="B28" s="44" t="s">
        <v>230</v>
      </c>
      <c r="C28" s="45"/>
      <c r="D28" s="34" t="s">
        <v>113</v>
      </c>
      <c r="E28" s="21">
        <f>E8+E11+E27</f>
        <v>16291851</v>
      </c>
      <c r="F28" s="34" t="s">
        <v>113</v>
      </c>
      <c r="G28" s="11" t="s">
        <v>231</v>
      </c>
      <c r="H28">
        <v>0</v>
      </c>
      <c r="I28">
        <f t="shared" si="0"/>
        <v>16291851</v>
      </c>
    </row>
    <row r="29" spans="1:10" ht="16.149999999999999" customHeight="1" x14ac:dyDescent="0.3">
      <c r="A29" s="42" t="s">
        <v>232</v>
      </c>
      <c r="B29" s="43"/>
      <c r="C29" s="43"/>
      <c r="D29" s="37" t="str">
        <f>"(재+노+경)*"&amp;H29*100&amp;"%"</f>
        <v>(재+노+경)*6%</v>
      </c>
      <c r="E29" s="38">
        <f>ROUNDDOWN((E8+E11+E27)*H29, 0)</f>
        <v>977511</v>
      </c>
      <c r="F29" s="39" t="s">
        <v>113</v>
      </c>
      <c r="G29" s="11" t="s">
        <v>233</v>
      </c>
      <c r="H29">
        <v>0.06</v>
      </c>
      <c r="I29">
        <f t="shared" si="0"/>
        <v>977511</v>
      </c>
    </row>
    <row r="30" spans="1:10" ht="16.149999999999999" customHeight="1" x14ac:dyDescent="0.3">
      <c r="A30" s="42" t="s">
        <v>234</v>
      </c>
      <c r="B30" s="43"/>
      <c r="C30" s="43"/>
      <c r="D30" s="37" t="str">
        <f>"(노+경+일)*"&amp;H30*100&amp;"%"</f>
        <v>(노+경+일)*14.977951%</v>
      </c>
      <c r="E30" s="38">
        <f>ROUNDDOWN(I30,0)</f>
        <v>686142</v>
      </c>
      <c r="F30" s="39" t="s">
        <v>113</v>
      </c>
      <c r="G30" s="11" t="s">
        <v>235</v>
      </c>
      <c r="H30">
        <v>0.14977951</v>
      </c>
      <c r="I30">
        <f>(I11+I27+I29)*H30+908</f>
        <v>686142.51817205001</v>
      </c>
    </row>
    <row r="31" spans="1:10" ht="16.149999999999999" customHeight="1" x14ac:dyDescent="0.3">
      <c r="A31" s="42" t="s">
        <v>236</v>
      </c>
      <c r="B31" s="43"/>
      <c r="C31" s="43"/>
      <c r="D31" s="39" t="s">
        <v>113</v>
      </c>
      <c r="E31" s="38">
        <f>ROUNDDOWN(E28+E29+E30,0)</f>
        <v>17955504</v>
      </c>
      <c r="F31" s="39" t="s">
        <v>113</v>
      </c>
      <c r="G31" s="11" t="s">
        <v>237</v>
      </c>
      <c r="H31">
        <v>0</v>
      </c>
      <c r="I31">
        <f>SUM(I28:I30)+-1</f>
        <v>17955503.518172052</v>
      </c>
    </row>
    <row r="32" spans="1:10" ht="16.149999999999999" customHeight="1" x14ac:dyDescent="0.3">
      <c r="A32" s="42" t="s">
        <v>238</v>
      </c>
      <c r="B32" s="43"/>
      <c r="C32" s="43"/>
      <c r="D32" s="37" t="str">
        <f>"(총원가)*"&amp;H32*100&amp;"%"</f>
        <v>(총원가)*10%</v>
      </c>
      <c r="E32" s="38">
        <f>ROUNDDOWN(E31*0.1,0)</f>
        <v>1795550</v>
      </c>
      <c r="F32" s="39" t="s">
        <v>113</v>
      </c>
      <c r="G32" s="11" t="s">
        <v>239</v>
      </c>
      <c r="H32">
        <v>0.1</v>
      </c>
      <c r="I32">
        <f>ROUNDDOWN((I31)*H32, 0)+1</f>
        <v>1795551</v>
      </c>
      <c r="J32">
        <v>1</v>
      </c>
    </row>
    <row r="33" spans="1:9" ht="16.149999999999999" customHeight="1" x14ac:dyDescent="0.3">
      <c r="A33" s="44" t="s">
        <v>240</v>
      </c>
      <c r="B33" s="45"/>
      <c r="C33" s="45"/>
      <c r="D33" s="34" t="s">
        <v>113</v>
      </c>
      <c r="E33" s="21">
        <f>ROUNDDOWN(E31+E32,-4)</f>
        <v>19750000</v>
      </c>
      <c r="F33" s="34" t="s">
        <v>113</v>
      </c>
      <c r="G33" s="11" t="s">
        <v>241</v>
      </c>
      <c r="H33">
        <v>0</v>
      </c>
      <c r="I33">
        <f>I31+I32</f>
        <v>19751054.518172052</v>
      </c>
    </row>
    <row r="34" spans="1:9" ht="16.149999999999999" hidden="1" customHeight="1" x14ac:dyDescent="0.3">
      <c r="A34" s="42" t="s">
        <v>242</v>
      </c>
      <c r="B34" s="43"/>
      <c r="C34" s="43"/>
      <c r="D34" s="39" t="s">
        <v>113</v>
      </c>
      <c r="E34" s="38">
        <f>집계표!AA20</f>
        <v>0</v>
      </c>
      <c r="F34" s="39" t="s">
        <v>113</v>
      </c>
      <c r="G34" s="11" t="s">
        <v>243</v>
      </c>
      <c r="H34">
        <v>0</v>
      </c>
      <c r="I34">
        <f>E34</f>
        <v>0</v>
      </c>
    </row>
    <row r="35" spans="1:9" ht="16.149999999999999" hidden="1" customHeight="1" x14ac:dyDescent="0.3">
      <c r="A35" s="42" t="s">
        <v>244</v>
      </c>
      <c r="B35" s="43"/>
      <c r="C35" s="43"/>
      <c r="D35" s="39" t="s">
        <v>113</v>
      </c>
      <c r="E35" s="38">
        <f>집계표!Z20</f>
        <v>0</v>
      </c>
      <c r="F35" s="39" t="s">
        <v>113</v>
      </c>
      <c r="G35" s="11" t="s">
        <v>245</v>
      </c>
      <c r="H35">
        <v>0</v>
      </c>
      <c r="I35">
        <f>E35</f>
        <v>0</v>
      </c>
    </row>
    <row r="36" spans="1:9" ht="16.149999999999999" hidden="1" customHeight="1" x14ac:dyDescent="0.3">
      <c r="A36" s="42" t="s">
        <v>246</v>
      </c>
      <c r="B36" s="43"/>
      <c r="C36" s="43"/>
      <c r="D36" s="39" t="s">
        <v>113</v>
      </c>
      <c r="E36" s="38">
        <f>집계표!W20</f>
        <v>0</v>
      </c>
      <c r="F36" s="39" t="s">
        <v>113</v>
      </c>
      <c r="G36" s="11" t="s">
        <v>247</v>
      </c>
      <c r="H36">
        <v>0</v>
      </c>
      <c r="I36">
        <f>E36</f>
        <v>0</v>
      </c>
    </row>
    <row r="37" spans="1:9" ht="16.149999999999999" customHeight="1" x14ac:dyDescent="0.3">
      <c r="A37" s="44" t="s">
        <v>248</v>
      </c>
      <c r="B37" s="45"/>
      <c r="C37" s="45"/>
      <c r="D37" s="34" t="s">
        <v>113</v>
      </c>
      <c r="E37" s="21">
        <f>ROUNDDOWN(E33+E34+E35+E36, 0)</f>
        <v>19750000</v>
      </c>
      <c r="F37" s="34" t="s">
        <v>113</v>
      </c>
      <c r="H37">
        <v>0</v>
      </c>
      <c r="I37">
        <f>I33+I34+I35+I36</f>
        <v>19751054.518172052</v>
      </c>
    </row>
  </sheetData>
  <mergeCells count="20">
    <mergeCell ref="B9:B11"/>
    <mergeCell ref="B12:B27"/>
    <mergeCell ref="A5:A28"/>
    <mergeCell ref="A34:C34"/>
    <mergeCell ref="A35:C35"/>
    <mergeCell ref="A36:C36"/>
    <mergeCell ref="A37:C37"/>
    <mergeCell ref="A1:F1"/>
    <mergeCell ref="A2:F2"/>
    <mergeCell ref="A3:C4"/>
    <mergeCell ref="D3:D4"/>
    <mergeCell ref="E3:E4"/>
    <mergeCell ref="B28:C28"/>
    <mergeCell ref="A29:C29"/>
    <mergeCell ref="A30:C30"/>
    <mergeCell ref="A31:C31"/>
    <mergeCell ref="A32:C32"/>
    <mergeCell ref="A33:C33"/>
    <mergeCell ref="F3:F4"/>
    <mergeCell ref="B5:B8"/>
  </mergeCells>
  <phoneticPr fontId="1" type="noConversion"/>
  <conditionalFormatting sqref="A5:F37">
    <cfRule type="containsText" dxfId="11" priority="1" stopIfTrue="1" operator="containsText" text=".">
      <formula>NOT(ISERROR(SEARCH(".",A5)))</formula>
    </cfRule>
    <cfRule type="notContainsText" dxfId="10" priority="2" stopIfTrue="1" operator="notContains" text=".">
      <formula>ISERROR(SEARCH(".",A5))</formula>
    </cfRule>
  </conditionalFormatting>
  <pageMargins left="0.7765515531031062" right="0.41666666666666669" top="0.57970115940231881" bottom="0.1388888888888889" header="0.3" footer="0.1388888888888889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19D86"/>
  </sheetPr>
  <dimension ref="A1:AW20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K7" sqref="K7"/>
    </sheetView>
  </sheetViews>
  <sheetFormatPr defaultRowHeight="16.5" x14ac:dyDescent="0.3"/>
  <cols>
    <col min="1" max="1" width="41.625" style="1" customWidth="1"/>
    <col min="2" max="3" width="4.625" style="2" customWidth="1"/>
    <col min="4" max="4" width="7.625" style="3" customWidth="1"/>
    <col min="5" max="5" width="9.625" style="3" customWidth="1"/>
    <col min="6" max="6" width="7.625" style="3" customWidth="1"/>
    <col min="7" max="7" width="9.625" style="3" customWidth="1"/>
    <col min="8" max="8" width="7.625" style="3" customWidth="1"/>
    <col min="9" max="9" width="9.625" style="3" customWidth="1"/>
    <col min="10" max="10" width="7.625" style="3" customWidth="1"/>
    <col min="11" max="11" width="9.625" style="3" customWidth="1"/>
    <col min="12" max="12" width="6.625" style="1" customWidth="1"/>
    <col min="13" max="49" width="0" hidden="1" customWidth="1"/>
  </cols>
  <sheetData>
    <row r="1" spans="1:49" ht="30" customHeight="1" x14ac:dyDescent="0.3">
      <c r="A1" s="46" t="s">
        <v>175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</row>
    <row r="2" spans="1:49" ht="23.1" customHeight="1" x14ac:dyDescent="0.3">
      <c r="A2" s="47" t="s">
        <v>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1:49" ht="23.1" customHeight="1" x14ac:dyDescent="0.3">
      <c r="A3" s="55" t="s">
        <v>136</v>
      </c>
      <c r="B3" s="55" t="s">
        <v>4</v>
      </c>
      <c r="C3" s="55" t="s">
        <v>105</v>
      </c>
      <c r="D3" s="55" t="s">
        <v>63</v>
      </c>
      <c r="E3" s="55"/>
      <c r="F3" s="55" t="s">
        <v>64</v>
      </c>
      <c r="G3" s="55"/>
      <c r="H3" s="55" t="s">
        <v>65</v>
      </c>
      <c r="I3" s="55"/>
      <c r="J3" s="55" t="s">
        <v>66</v>
      </c>
      <c r="K3" s="55"/>
      <c r="L3" s="55" t="s">
        <v>138</v>
      </c>
    </row>
    <row r="4" spans="1:49" ht="23.1" customHeight="1" x14ac:dyDescent="0.3">
      <c r="A4" s="55"/>
      <c r="B4" s="55"/>
      <c r="C4" s="55"/>
      <c r="D4" s="12" t="s">
        <v>68</v>
      </c>
      <c r="E4" s="12" t="s">
        <v>110</v>
      </c>
      <c r="F4" s="12" t="s">
        <v>68</v>
      </c>
      <c r="G4" s="12" t="s">
        <v>110</v>
      </c>
      <c r="H4" s="12" t="s">
        <v>68</v>
      </c>
      <c r="I4" s="12" t="s">
        <v>110</v>
      </c>
      <c r="J4" s="12" t="s">
        <v>68</v>
      </c>
      <c r="K4" s="12" t="s">
        <v>110</v>
      </c>
      <c r="L4" s="55"/>
      <c r="M4" t="s">
        <v>70</v>
      </c>
      <c r="N4" t="s">
        <v>71</v>
      </c>
      <c r="O4" t="s">
        <v>72</v>
      </c>
      <c r="P4" t="s">
        <v>73</v>
      </c>
      <c r="Q4" t="s">
        <v>79</v>
      </c>
      <c r="R4" t="s">
        <v>139</v>
      </c>
      <c r="S4" t="s">
        <v>140</v>
      </c>
      <c r="T4" t="s">
        <v>141</v>
      </c>
      <c r="U4" t="s">
        <v>142</v>
      </c>
      <c r="V4" t="s">
        <v>143</v>
      </c>
      <c r="W4" t="s">
        <v>144</v>
      </c>
      <c r="X4" t="s">
        <v>145</v>
      </c>
      <c r="Y4" t="s">
        <v>146</v>
      </c>
      <c r="Z4" t="s">
        <v>147</v>
      </c>
      <c r="AA4" t="s">
        <v>148</v>
      </c>
      <c r="AB4" t="s">
        <v>149</v>
      </c>
      <c r="AC4" t="s">
        <v>150</v>
      </c>
      <c r="AD4" t="s">
        <v>151</v>
      </c>
      <c r="AE4" t="s">
        <v>152</v>
      </c>
      <c r="AF4" t="s">
        <v>153</v>
      </c>
      <c r="AG4" t="s">
        <v>154</v>
      </c>
      <c r="AH4" t="s">
        <v>155</v>
      </c>
      <c r="AI4" t="s">
        <v>156</v>
      </c>
      <c r="AJ4" t="s">
        <v>157</v>
      </c>
      <c r="AK4" t="s">
        <v>158</v>
      </c>
      <c r="AL4" t="s">
        <v>159</v>
      </c>
      <c r="AM4" t="s">
        <v>160</v>
      </c>
      <c r="AN4" t="s">
        <v>161</v>
      </c>
      <c r="AO4" t="s">
        <v>162</v>
      </c>
      <c r="AP4" t="s">
        <v>163</v>
      </c>
      <c r="AQ4" t="s">
        <v>164</v>
      </c>
      <c r="AR4" t="s">
        <v>165</v>
      </c>
      <c r="AS4" t="s">
        <v>166</v>
      </c>
      <c r="AT4" t="s">
        <v>167</v>
      </c>
      <c r="AU4" t="s">
        <v>168</v>
      </c>
      <c r="AV4" t="s">
        <v>74</v>
      </c>
      <c r="AW4" t="s">
        <v>75</v>
      </c>
    </row>
    <row r="5" spans="1:49" ht="23.1" customHeight="1" x14ac:dyDescent="0.3">
      <c r="A5" s="14" t="s">
        <v>169</v>
      </c>
      <c r="B5" s="15" t="s">
        <v>85</v>
      </c>
      <c r="C5" s="22">
        <v>1</v>
      </c>
      <c r="D5" s="16">
        <f>내역서!F20</f>
        <v>0</v>
      </c>
      <c r="E5" s="16">
        <f>C5*D5</f>
        <v>0</v>
      </c>
      <c r="F5" s="16">
        <f>내역서!H20</f>
        <v>148980</v>
      </c>
      <c r="G5" s="16">
        <f>C5*F5</f>
        <v>148980</v>
      </c>
      <c r="H5" s="16">
        <f>내역서!J20</f>
        <v>0</v>
      </c>
      <c r="I5" s="16">
        <f>C5*H5</f>
        <v>0</v>
      </c>
      <c r="J5" s="16">
        <f t="shared" ref="J5:K8" si="0">D5+F5+H5</f>
        <v>148980</v>
      </c>
      <c r="K5" s="16">
        <f t="shared" si="0"/>
        <v>148980</v>
      </c>
      <c r="L5" s="17"/>
      <c r="P5">
        <v>1</v>
      </c>
      <c r="Q5">
        <f>C5*내역서!R20</f>
        <v>0</v>
      </c>
      <c r="R5">
        <f>C5*내역서!S20</f>
        <v>0</v>
      </c>
      <c r="S5">
        <f>C5*내역서!T20</f>
        <v>0</v>
      </c>
      <c r="T5">
        <f>C5*내역서!U20</f>
        <v>0</v>
      </c>
      <c r="U5">
        <f>C5*내역서!V20</f>
        <v>0</v>
      </c>
      <c r="V5">
        <f>C5*내역서!W20</f>
        <v>0</v>
      </c>
      <c r="W5">
        <f>C5*내역서!X20</f>
        <v>0</v>
      </c>
      <c r="X5">
        <f>C5*내역서!Y20</f>
        <v>0</v>
      </c>
      <c r="Y5">
        <f>C5*내역서!Z20</f>
        <v>0</v>
      </c>
      <c r="Z5">
        <f>C5*내역서!AA20</f>
        <v>0</v>
      </c>
      <c r="AA5">
        <f>C5*내역서!AB20</f>
        <v>0</v>
      </c>
      <c r="AB5">
        <f>C5*내역서!AC20</f>
        <v>0</v>
      </c>
      <c r="AC5">
        <f>C5*내역서!AD20</f>
        <v>0</v>
      </c>
      <c r="AD5">
        <f>C5*내역서!AE20</f>
        <v>0</v>
      </c>
      <c r="AE5">
        <f>C5*내역서!AF20</f>
        <v>0</v>
      </c>
      <c r="AF5">
        <f>C5*내역서!AG20</f>
        <v>0</v>
      </c>
      <c r="AG5">
        <f>C5*내역서!AH20</f>
        <v>0</v>
      </c>
      <c r="AH5">
        <f>C5*내역서!AI20</f>
        <v>0</v>
      </c>
      <c r="AI5">
        <f>C5*내역서!AJ20</f>
        <v>0</v>
      </c>
      <c r="AJ5">
        <f>C5*내역서!AK20</f>
        <v>0</v>
      </c>
      <c r="AK5">
        <f>C5*내역서!AL20</f>
        <v>0</v>
      </c>
      <c r="AL5">
        <f>C5*내역서!AM20</f>
        <v>0</v>
      </c>
      <c r="AM5">
        <f>C5*내역서!AN20</f>
        <v>0</v>
      </c>
      <c r="AN5">
        <f>C5*내역서!AO20</f>
        <v>0</v>
      </c>
      <c r="AO5">
        <f>C5*내역서!AP20</f>
        <v>0</v>
      </c>
      <c r="AP5">
        <f>C5*내역서!AQ20</f>
        <v>0</v>
      </c>
      <c r="AQ5">
        <f>C5*내역서!AR20</f>
        <v>0</v>
      </c>
      <c r="AR5">
        <f>C5*내역서!AS20</f>
        <v>0</v>
      </c>
      <c r="AS5">
        <f>C5*내역서!AT20</f>
        <v>0</v>
      </c>
      <c r="AT5">
        <f>C5*내역서!AU20</f>
        <v>0</v>
      </c>
      <c r="AU5">
        <f>C5*내역서!AV20</f>
        <v>0</v>
      </c>
    </row>
    <row r="6" spans="1:49" ht="23.1" customHeight="1" x14ac:dyDescent="0.3">
      <c r="A6" s="14" t="s">
        <v>170</v>
      </c>
      <c r="B6" s="15" t="s">
        <v>85</v>
      </c>
      <c r="C6" s="22">
        <v>1</v>
      </c>
      <c r="D6" s="16">
        <f>내역서!F36</f>
        <v>2269092</v>
      </c>
      <c r="E6" s="16">
        <f>C6*D6</f>
        <v>2269092</v>
      </c>
      <c r="F6" s="16">
        <f>내역서!H36</f>
        <v>1816571</v>
      </c>
      <c r="G6" s="16">
        <f>C6*F6</f>
        <v>1816571</v>
      </c>
      <c r="H6" s="16">
        <f>내역서!J36</f>
        <v>42594</v>
      </c>
      <c r="I6" s="16">
        <f>C6*H6</f>
        <v>42594</v>
      </c>
      <c r="J6" s="16">
        <f t="shared" si="0"/>
        <v>4128257</v>
      </c>
      <c r="K6" s="16">
        <f t="shared" si="0"/>
        <v>4128257</v>
      </c>
      <c r="L6" s="17"/>
      <c r="P6">
        <v>1</v>
      </c>
      <c r="Q6">
        <f>C6*내역서!R36</f>
        <v>42594</v>
      </c>
      <c r="R6">
        <f>C6*내역서!S36</f>
        <v>0</v>
      </c>
      <c r="S6">
        <f>C6*내역서!T36</f>
        <v>0</v>
      </c>
      <c r="T6">
        <f>C6*내역서!U36</f>
        <v>0</v>
      </c>
      <c r="U6">
        <f>C6*내역서!V36</f>
        <v>0</v>
      </c>
      <c r="V6">
        <f>C6*내역서!W36</f>
        <v>0</v>
      </c>
      <c r="W6">
        <f>C6*내역서!X36</f>
        <v>0</v>
      </c>
      <c r="X6">
        <f>C6*내역서!Y36</f>
        <v>0</v>
      </c>
      <c r="Y6">
        <f>C6*내역서!Z36</f>
        <v>0</v>
      </c>
      <c r="Z6">
        <f>C6*내역서!AA36</f>
        <v>0</v>
      </c>
      <c r="AA6">
        <f>C6*내역서!AB36</f>
        <v>0</v>
      </c>
      <c r="AB6">
        <f>C6*내역서!AC36</f>
        <v>0</v>
      </c>
      <c r="AC6">
        <f>C6*내역서!AD36</f>
        <v>0</v>
      </c>
      <c r="AD6">
        <f>C6*내역서!AE36</f>
        <v>0</v>
      </c>
      <c r="AE6">
        <f>C6*내역서!AF36</f>
        <v>0</v>
      </c>
      <c r="AF6">
        <f>C6*내역서!AG36</f>
        <v>0</v>
      </c>
      <c r="AG6">
        <f>C6*내역서!AH36</f>
        <v>0</v>
      </c>
      <c r="AH6">
        <f>C6*내역서!AI36</f>
        <v>0</v>
      </c>
      <c r="AI6">
        <f>C6*내역서!AJ36</f>
        <v>0</v>
      </c>
      <c r="AJ6">
        <f>C6*내역서!AK36</f>
        <v>0</v>
      </c>
      <c r="AK6">
        <f>C6*내역서!AL36</f>
        <v>0</v>
      </c>
      <c r="AL6">
        <f>C6*내역서!AM36</f>
        <v>0</v>
      </c>
      <c r="AM6">
        <f>C6*내역서!AN36</f>
        <v>0</v>
      </c>
      <c r="AN6">
        <f>C6*내역서!AO36</f>
        <v>0</v>
      </c>
      <c r="AO6">
        <f>C6*내역서!AP36</f>
        <v>0</v>
      </c>
      <c r="AP6">
        <f>C6*내역서!AQ36</f>
        <v>0</v>
      </c>
      <c r="AQ6">
        <f>C6*내역서!AR36</f>
        <v>0</v>
      </c>
      <c r="AR6">
        <f>C6*내역서!AS36</f>
        <v>0</v>
      </c>
      <c r="AS6">
        <f>C6*내역서!AT36</f>
        <v>0</v>
      </c>
      <c r="AT6">
        <f>C6*내역서!AU36</f>
        <v>0</v>
      </c>
      <c r="AU6">
        <f>C6*내역서!AV36</f>
        <v>0</v>
      </c>
    </row>
    <row r="7" spans="1:49" ht="23.1" customHeight="1" x14ac:dyDescent="0.3">
      <c r="A7" s="14" t="s">
        <v>173</v>
      </c>
      <c r="B7" s="15" t="s">
        <v>85</v>
      </c>
      <c r="C7" s="22">
        <v>1</v>
      </c>
      <c r="D7" s="16">
        <f>내역서!F52</f>
        <v>7509315</v>
      </c>
      <c r="E7" s="16">
        <f>C7*D7</f>
        <v>7509315</v>
      </c>
      <c r="F7" s="16">
        <f>내역서!H52</f>
        <v>310521</v>
      </c>
      <c r="G7" s="16">
        <f>C7*F7</f>
        <v>310521</v>
      </c>
      <c r="H7" s="16">
        <f>내역서!J52</f>
        <v>0</v>
      </c>
      <c r="I7" s="16">
        <f>C7*H7</f>
        <v>0</v>
      </c>
      <c r="J7" s="16">
        <f t="shared" si="0"/>
        <v>7819836</v>
      </c>
      <c r="K7" s="16">
        <f t="shared" si="0"/>
        <v>7819836</v>
      </c>
      <c r="L7" s="17"/>
      <c r="P7">
        <v>1</v>
      </c>
      <c r="Q7">
        <f>C7*내역서!R52</f>
        <v>0</v>
      </c>
      <c r="R7">
        <f>C7*내역서!S52</f>
        <v>0</v>
      </c>
      <c r="S7">
        <f>C7*내역서!T52</f>
        <v>0</v>
      </c>
      <c r="T7">
        <f>C7*내역서!U52</f>
        <v>0</v>
      </c>
      <c r="U7">
        <f>C7*내역서!V52</f>
        <v>0</v>
      </c>
      <c r="V7">
        <f>C7*내역서!W52</f>
        <v>0</v>
      </c>
      <c r="W7">
        <f>C7*내역서!X52</f>
        <v>0</v>
      </c>
      <c r="X7">
        <f>C7*내역서!Y52</f>
        <v>0</v>
      </c>
      <c r="Y7">
        <f>C7*내역서!Z52</f>
        <v>0</v>
      </c>
      <c r="Z7">
        <f>C7*내역서!AA52</f>
        <v>0</v>
      </c>
      <c r="AA7">
        <f>C7*내역서!AB52</f>
        <v>0</v>
      </c>
      <c r="AB7">
        <f>C7*내역서!AC52</f>
        <v>0</v>
      </c>
      <c r="AC7">
        <f>C7*내역서!AD52</f>
        <v>0</v>
      </c>
      <c r="AD7">
        <f>C7*내역서!AE52</f>
        <v>0</v>
      </c>
      <c r="AE7">
        <f>C7*내역서!AF52</f>
        <v>0</v>
      </c>
      <c r="AF7">
        <f>C7*내역서!AG52</f>
        <v>0</v>
      </c>
      <c r="AG7">
        <f>C7*내역서!AH52</f>
        <v>0</v>
      </c>
      <c r="AH7">
        <f>C7*내역서!AI52</f>
        <v>0</v>
      </c>
      <c r="AI7">
        <f>C7*내역서!AJ52</f>
        <v>0</v>
      </c>
      <c r="AJ7">
        <f>C7*내역서!AK52</f>
        <v>0</v>
      </c>
      <c r="AK7">
        <f>C7*내역서!AL52</f>
        <v>0</v>
      </c>
      <c r="AL7">
        <f>C7*내역서!AM52</f>
        <v>0</v>
      </c>
      <c r="AM7">
        <f>C7*내역서!AN52</f>
        <v>0</v>
      </c>
      <c r="AN7">
        <f>C7*내역서!AO52</f>
        <v>0</v>
      </c>
      <c r="AO7">
        <f>C7*내역서!AP52</f>
        <v>0</v>
      </c>
      <c r="AP7">
        <f>C7*내역서!AQ52</f>
        <v>0</v>
      </c>
      <c r="AQ7">
        <f>C7*내역서!AR52</f>
        <v>0</v>
      </c>
      <c r="AR7">
        <f>C7*내역서!AS52</f>
        <v>0</v>
      </c>
      <c r="AS7">
        <f>C7*내역서!AT52</f>
        <v>0</v>
      </c>
      <c r="AT7">
        <f>C7*내역서!AU52</f>
        <v>0</v>
      </c>
      <c r="AU7">
        <f>C7*내역서!AV52</f>
        <v>0</v>
      </c>
    </row>
    <row r="8" spans="1:49" ht="23.1" customHeight="1" x14ac:dyDescent="0.3">
      <c r="A8" s="14" t="s">
        <v>174</v>
      </c>
      <c r="B8" s="15" t="s">
        <v>85</v>
      </c>
      <c r="C8" s="22">
        <v>1</v>
      </c>
      <c r="D8" s="16">
        <f>내역서!F68</f>
        <v>2916000</v>
      </c>
      <c r="E8" s="16">
        <f>C8*D8</f>
        <v>2916000</v>
      </c>
      <c r="F8" s="16">
        <f>내역서!H68</f>
        <v>0</v>
      </c>
      <c r="G8" s="16">
        <f>C8*F8</f>
        <v>0</v>
      </c>
      <c r="H8" s="16">
        <f>내역서!J68</f>
        <v>0</v>
      </c>
      <c r="I8" s="16">
        <f>C8*H8</f>
        <v>0</v>
      </c>
      <c r="J8" s="16">
        <f t="shared" si="0"/>
        <v>2916000</v>
      </c>
      <c r="K8" s="16">
        <f t="shared" si="0"/>
        <v>2916000</v>
      </c>
      <c r="L8" s="17"/>
      <c r="P8">
        <v>1</v>
      </c>
      <c r="Q8">
        <f>C8*내역서!R68</f>
        <v>0</v>
      </c>
      <c r="R8">
        <f>C8*내역서!S68</f>
        <v>0</v>
      </c>
      <c r="S8">
        <f>C8*내역서!T68</f>
        <v>0</v>
      </c>
      <c r="T8">
        <f>C8*내역서!U68</f>
        <v>0</v>
      </c>
      <c r="U8">
        <f>C8*내역서!V68</f>
        <v>0</v>
      </c>
      <c r="V8">
        <f>C8*내역서!W68</f>
        <v>0</v>
      </c>
      <c r="W8">
        <f>C8*내역서!X68</f>
        <v>0</v>
      </c>
      <c r="X8">
        <f>C8*내역서!Y68</f>
        <v>0</v>
      </c>
      <c r="Y8">
        <f>C8*내역서!Z68</f>
        <v>0</v>
      </c>
      <c r="Z8">
        <f>C8*내역서!AA68</f>
        <v>0</v>
      </c>
      <c r="AA8">
        <f>C8*내역서!AB68</f>
        <v>0</v>
      </c>
      <c r="AB8">
        <f>C8*내역서!AC68</f>
        <v>0</v>
      </c>
      <c r="AC8">
        <f>C8*내역서!AD68</f>
        <v>0</v>
      </c>
      <c r="AD8">
        <f>C8*내역서!AE68</f>
        <v>0</v>
      </c>
      <c r="AE8">
        <f>C8*내역서!AF68</f>
        <v>0</v>
      </c>
      <c r="AF8">
        <f>C8*내역서!AG68</f>
        <v>0</v>
      </c>
      <c r="AG8">
        <f>C8*내역서!AH68</f>
        <v>0</v>
      </c>
      <c r="AH8">
        <f>C8*내역서!AI68</f>
        <v>0</v>
      </c>
      <c r="AI8">
        <f>C8*내역서!AJ68</f>
        <v>0</v>
      </c>
      <c r="AJ8">
        <f>C8*내역서!AK68</f>
        <v>0</v>
      </c>
      <c r="AK8">
        <f>C8*내역서!AL68</f>
        <v>0</v>
      </c>
      <c r="AL8">
        <f>C8*내역서!AM68</f>
        <v>0</v>
      </c>
      <c r="AM8">
        <f>C8*내역서!AN68</f>
        <v>0</v>
      </c>
      <c r="AN8">
        <f>C8*내역서!AO68</f>
        <v>0</v>
      </c>
      <c r="AO8">
        <f>C8*내역서!AP68</f>
        <v>0</v>
      </c>
      <c r="AP8">
        <f>C8*내역서!AQ68</f>
        <v>0</v>
      </c>
      <c r="AQ8">
        <f>C8*내역서!AR68</f>
        <v>0</v>
      </c>
      <c r="AR8">
        <f>C8*내역서!AS68</f>
        <v>0</v>
      </c>
      <c r="AS8">
        <f>C8*내역서!AT68</f>
        <v>0</v>
      </c>
      <c r="AT8">
        <f>C8*내역서!AU68</f>
        <v>0</v>
      </c>
      <c r="AU8">
        <f>C8*내역서!AV68</f>
        <v>0</v>
      </c>
    </row>
    <row r="9" spans="1:49" ht="23.1" customHeight="1" x14ac:dyDescent="0.3">
      <c r="A9" s="17"/>
      <c r="B9" s="22"/>
      <c r="C9" s="22"/>
      <c r="D9" s="16"/>
      <c r="E9" s="16"/>
      <c r="F9" s="16"/>
      <c r="G9" s="16"/>
      <c r="H9" s="16"/>
      <c r="I9" s="16"/>
      <c r="J9" s="16"/>
      <c r="K9" s="16"/>
      <c r="L9" s="17"/>
    </row>
    <row r="10" spans="1:49" ht="23.1" customHeight="1" x14ac:dyDescent="0.3">
      <c r="A10" s="17"/>
      <c r="B10" s="22"/>
      <c r="C10" s="22"/>
      <c r="D10" s="16"/>
      <c r="E10" s="16"/>
      <c r="F10" s="16"/>
      <c r="G10" s="16"/>
      <c r="H10" s="16"/>
      <c r="I10" s="16"/>
      <c r="J10" s="16"/>
      <c r="K10" s="16"/>
      <c r="L10" s="17"/>
    </row>
    <row r="11" spans="1:49" ht="23.1" customHeight="1" x14ac:dyDescent="0.3">
      <c r="A11" s="17"/>
      <c r="B11" s="22"/>
      <c r="C11" s="22"/>
      <c r="D11" s="16"/>
      <c r="E11" s="16"/>
      <c r="F11" s="16"/>
      <c r="G11" s="16"/>
      <c r="H11" s="16"/>
      <c r="I11" s="16"/>
      <c r="J11" s="16"/>
      <c r="K11" s="16"/>
      <c r="L11" s="17"/>
    </row>
    <row r="12" spans="1:49" ht="23.1" customHeight="1" x14ac:dyDescent="0.3">
      <c r="A12" s="17"/>
      <c r="B12" s="22"/>
      <c r="C12" s="22"/>
      <c r="D12" s="16"/>
      <c r="E12" s="16"/>
      <c r="F12" s="16"/>
      <c r="G12" s="16"/>
      <c r="H12" s="16"/>
      <c r="I12" s="16"/>
      <c r="J12" s="16"/>
      <c r="K12" s="16"/>
      <c r="L12" s="17"/>
    </row>
    <row r="13" spans="1:49" ht="23.1" customHeight="1" x14ac:dyDescent="0.3">
      <c r="A13" s="17"/>
      <c r="B13" s="22"/>
      <c r="C13" s="22"/>
      <c r="D13" s="16"/>
      <c r="E13" s="16"/>
      <c r="F13" s="16"/>
      <c r="G13" s="16"/>
      <c r="H13" s="16"/>
      <c r="I13" s="16"/>
      <c r="J13" s="16"/>
      <c r="K13" s="16"/>
      <c r="L13" s="17"/>
    </row>
    <row r="14" spans="1:49" ht="23.1" customHeight="1" x14ac:dyDescent="0.3">
      <c r="A14" s="17"/>
      <c r="B14" s="22"/>
      <c r="C14" s="22"/>
      <c r="D14" s="16"/>
      <c r="E14" s="16"/>
      <c r="F14" s="16"/>
      <c r="G14" s="16"/>
      <c r="H14" s="16"/>
      <c r="I14" s="16"/>
      <c r="J14" s="16"/>
      <c r="K14" s="16"/>
      <c r="L14" s="17"/>
    </row>
    <row r="15" spans="1:49" ht="23.1" customHeight="1" x14ac:dyDescent="0.3">
      <c r="A15" s="17"/>
      <c r="B15" s="22"/>
      <c r="C15" s="22"/>
      <c r="D15" s="16"/>
      <c r="E15" s="16"/>
      <c r="F15" s="16"/>
      <c r="G15" s="16"/>
      <c r="H15" s="16"/>
      <c r="I15" s="16"/>
      <c r="J15" s="16"/>
      <c r="K15" s="16"/>
      <c r="L15" s="17"/>
    </row>
    <row r="16" spans="1:49" ht="23.1" customHeight="1" x14ac:dyDescent="0.3">
      <c r="A16" s="17"/>
      <c r="B16" s="22"/>
      <c r="C16" s="22"/>
      <c r="D16" s="16"/>
      <c r="E16" s="16"/>
      <c r="F16" s="16"/>
      <c r="G16" s="16"/>
      <c r="H16" s="16"/>
      <c r="I16" s="16"/>
      <c r="J16" s="16"/>
      <c r="K16" s="16"/>
      <c r="L16" s="17"/>
    </row>
    <row r="17" spans="1:49" ht="23.1" customHeight="1" x14ac:dyDescent="0.3">
      <c r="A17" s="17"/>
      <c r="B17" s="22"/>
      <c r="C17" s="22"/>
      <c r="D17" s="16"/>
      <c r="E17" s="16"/>
      <c r="F17" s="16"/>
      <c r="G17" s="16"/>
      <c r="H17" s="16"/>
      <c r="I17" s="16"/>
      <c r="J17" s="16"/>
      <c r="K17" s="16"/>
      <c r="L17" s="17"/>
    </row>
    <row r="18" spans="1:49" ht="23.1" customHeight="1" x14ac:dyDescent="0.3">
      <c r="A18" s="17"/>
      <c r="B18" s="22"/>
      <c r="C18" s="22"/>
      <c r="D18" s="16"/>
      <c r="E18" s="16"/>
      <c r="F18" s="16"/>
      <c r="G18" s="16"/>
      <c r="H18" s="16"/>
      <c r="I18" s="16"/>
      <c r="J18" s="16"/>
      <c r="K18" s="16"/>
      <c r="L18" s="17"/>
    </row>
    <row r="19" spans="1:49" ht="23.1" customHeight="1" x14ac:dyDescent="0.3">
      <c r="A19" s="17"/>
      <c r="B19" s="22"/>
      <c r="C19" s="22"/>
      <c r="D19" s="16"/>
      <c r="E19" s="16"/>
      <c r="F19" s="16"/>
      <c r="G19" s="16"/>
      <c r="H19" s="16"/>
      <c r="I19" s="16"/>
      <c r="J19" s="16"/>
      <c r="K19" s="16"/>
      <c r="L19" s="17"/>
    </row>
    <row r="20" spans="1:49" ht="23.1" customHeight="1" x14ac:dyDescent="0.3">
      <c r="A20" s="18" t="s">
        <v>80</v>
      </c>
      <c r="B20" s="20"/>
      <c r="C20" s="20"/>
      <c r="D20" s="21"/>
      <c r="E20" s="21">
        <f>SUMIF(P5:P8, "1", E5:E8)</f>
        <v>12694407</v>
      </c>
      <c r="F20" s="21"/>
      <c r="G20" s="21">
        <f>SUMIF(P5:P8, "1", G5:G8)</f>
        <v>2276072</v>
      </c>
      <c r="H20" s="21"/>
      <c r="I20" s="21">
        <f>SUMIF(P5:P8, "1", I5:I8)</f>
        <v>42594</v>
      </c>
      <c r="J20" s="21"/>
      <c r="K20" s="21">
        <f>E20+G20+I20</f>
        <v>15013073</v>
      </c>
      <c r="L20" s="19"/>
      <c r="Q20">
        <f t="shared" ref="Q20:AW20" si="1">SUM(Q5:Q8)</f>
        <v>42594</v>
      </c>
      <c r="R20">
        <f t="shared" si="1"/>
        <v>0</v>
      </c>
      <c r="S20">
        <f t="shared" si="1"/>
        <v>0</v>
      </c>
      <c r="T20">
        <f t="shared" si="1"/>
        <v>0</v>
      </c>
      <c r="U20">
        <f t="shared" si="1"/>
        <v>0</v>
      </c>
      <c r="V20">
        <f t="shared" si="1"/>
        <v>0</v>
      </c>
      <c r="W20">
        <f t="shared" si="1"/>
        <v>0</v>
      </c>
      <c r="X20">
        <f t="shared" si="1"/>
        <v>0</v>
      </c>
      <c r="Y20">
        <f t="shared" si="1"/>
        <v>0</v>
      </c>
      <c r="Z20">
        <f t="shared" si="1"/>
        <v>0</v>
      </c>
      <c r="AA20">
        <f t="shared" si="1"/>
        <v>0</v>
      </c>
      <c r="AB20">
        <f t="shared" si="1"/>
        <v>0</v>
      </c>
      <c r="AC20">
        <f t="shared" si="1"/>
        <v>0</v>
      </c>
      <c r="AD20">
        <f t="shared" si="1"/>
        <v>0</v>
      </c>
      <c r="AE20">
        <f t="shared" si="1"/>
        <v>0</v>
      </c>
      <c r="AF20">
        <f t="shared" si="1"/>
        <v>0</v>
      </c>
      <c r="AG20">
        <f t="shared" si="1"/>
        <v>0</v>
      </c>
      <c r="AH20">
        <f t="shared" si="1"/>
        <v>0</v>
      </c>
      <c r="AI20">
        <f t="shared" si="1"/>
        <v>0</v>
      </c>
      <c r="AJ20">
        <f t="shared" si="1"/>
        <v>0</v>
      </c>
      <c r="AK20">
        <f t="shared" si="1"/>
        <v>0</v>
      </c>
      <c r="AL20">
        <f t="shared" si="1"/>
        <v>0</v>
      </c>
      <c r="AM20">
        <f t="shared" si="1"/>
        <v>0</v>
      </c>
      <c r="AN20">
        <f t="shared" si="1"/>
        <v>0</v>
      </c>
      <c r="AO20">
        <f t="shared" si="1"/>
        <v>0</v>
      </c>
      <c r="AP20">
        <f t="shared" si="1"/>
        <v>0</v>
      </c>
      <c r="AQ20">
        <f t="shared" si="1"/>
        <v>0</v>
      </c>
      <c r="AR20">
        <f t="shared" si="1"/>
        <v>0</v>
      </c>
      <c r="AS20">
        <f t="shared" si="1"/>
        <v>0</v>
      </c>
      <c r="AT20">
        <f t="shared" si="1"/>
        <v>0</v>
      </c>
      <c r="AU20">
        <f t="shared" si="1"/>
        <v>0</v>
      </c>
      <c r="AV20">
        <f t="shared" si="1"/>
        <v>0</v>
      </c>
      <c r="AW20">
        <f t="shared" si="1"/>
        <v>0</v>
      </c>
    </row>
  </sheetData>
  <mergeCells count="10">
    <mergeCell ref="A1:L1"/>
    <mergeCell ref="A2:L2"/>
    <mergeCell ref="A3:A4"/>
    <mergeCell ref="B3:B4"/>
    <mergeCell ref="C3:C4"/>
    <mergeCell ref="L3:L4"/>
    <mergeCell ref="D3:E3"/>
    <mergeCell ref="F3:G3"/>
    <mergeCell ref="H3:I3"/>
    <mergeCell ref="J3:K3"/>
  </mergeCells>
  <phoneticPr fontId="1" type="noConversion"/>
  <conditionalFormatting sqref="A5:L20">
    <cfRule type="containsText" dxfId="9" priority="1" stopIfTrue="1" operator="containsText" text=".">
      <formula>NOT(ISERROR(SEARCH(".",A5)))</formula>
    </cfRule>
    <cfRule type="notContainsText" dxfId="8" priority="2" stopIfTrue="1" operator="notContains" text=".">
      <formula>ISERROR(SEARCH(".",A5))</formula>
    </cfRule>
  </conditionalFormatting>
  <pageMargins left="0.7765515531031062" right="0" top="0.57970115940231881" bottom="0.1388888888888889" header="0.3" footer="0.1388888888888889"/>
  <pageSetup paperSize="9" orientation="landscape" verticalDpi="0" r:id="rId1"/>
  <rowBreaks count="1" manualBreakCount="1">
    <brk id="2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B7"/>
  </sheetPr>
  <dimension ref="A1:AX68"/>
  <sheetViews>
    <sheetView workbookViewId="0">
      <pane xSplit="4" ySplit="4" topLeftCell="E23" activePane="bottomRight" state="frozen"/>
      <selection pane="topRight" activeCell="E1" sqref="E1"/>
      <selection pane="bottomLeft" activeCell="A5" sqref="A5"/>
      <selection pane="bottomRight" activeCell="F39" sqref="F39"/>
    </sheetView>
  </sheetViews>
  <sheetFormatPr defaultRowHeight="16.5" x14ac:dyDescent="0.3"/>
  <cols>
    <col min="1" max="2" width="20.625" style="1" customWidth="1"/>
    <col min="3" max="3" width="4.625" style="2" customWidth="1"/>
    <col min="4" max="5" width="6.625" style="3" customWidth="1"/>
    <col min="6" max="6" width="9.625" style="3" customWidth="1"/>
    <col min="7" max="7" width="6.625" style="3" customWidth="1"/>
    <col min="8" max="8" width="9.625" style="3" customWidth="1"/>
    <col min="9" max="9" width="6.625" style="3" customWidth="1"/>
    <col min="10" max="10" width="9.625" style="3" customWidth="1"/>
    <col min="11" max="11" width="6.625" style="3" customWidth="1"/>
    <col min="12" max="12" width="9.625" style="3" customWidth="1"/>
    <col min="13" max="13" width="8.625" style="3" customWidth="1"/>
    <col min="14" max="50" width="0" hidden="1" customWidth="1"/>
  </cols>
  <sheetData>
    <row r="1" spans="1:50" ht="30" customHeight="1" x14ac:dyDescent="0.3">
      <c r="A1" s="46" t="s">
        <v>135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</row>
    <row r="2" spans="1:50" ht="23.1" customHeight="1" x14ac:dyDescent="0.3">
      <c r="A2" s="47" t="s">
        <v>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3" spans="1:50" ht="23.1" customHeight="1" x14ac:dyDescent="0.3">
      <c r="A3" s="55" t="s">
        <v>136</v>
      </c>
      <c r="B3" s="55" t="s">
        <v>137</v>
      </c>
      <c r="C3" s="55" t="s">
        <v>4</v>
      </c>
      <c r="D3" s="55" t="s">
        <v>62</v>
      </c>
      <c r="E3" s="55" t="s">
        <v>63</v>
      </c>
      <c r="F3" s="55"/>
      <c r="G3" s="55" t="s">
        <v>64</v>
      </c>
      <c r="H3" s="55"/>
      <c r="I3" s="55" t="s">
        <v>65</v>
      </c>
      <c r="J3" s="55"/>
      <c r="K3" s="55" t="s">
        <v>66</v>
      </c>
      <c r="L3" s="55"/>
      <c r="M3" s="55" t="s">
        <v>138</v>
      </c>
    </row>
    <row r="4" spans="1:50" ht="23.1" customHeight="1" x14ac:dyDescent="0.3">
      <c r="A4" s="55"/>
      <c r="B4" s="55"/>
      <c r="C4" s="55"/>
      <c r="D4" s="55"/>
      <c r="E4" s="12" t="s">
        <v>68</v>
      </c>
      <c r="F4" s="12" t="s">
        <v>69</v>
      </c>
      <c r="G4" s="12" t="s">
        <v>68</v>
      </c>
      <c r="H4" s="12" t="s">
        <v>69</v>
      </c>
      <c r="I4" s="12" t="s">
        <v>68</v>
      </c>
      <c r="J4" s="12" t="s">
        <v>69</v>
      </c>
      <c r="K4" s="12" t="s">
        <v>68</v>
      </c>
      <c r="L4" s="12" t="s">
        <v>69</v>
      </c>
      <c r="M4" s="55"/>
      <c r="N4" t="s">
        <v>70</v>
      </c>
      <c r="O4" t="s">
        <v>71</v>
      </c>
      <c r="P4" t="s">
        <v>72</v>
      </c>
      <c r="Q4" t="s">
        <v>73</v>
      </c>
      <c r="R4" t="s">
        <v>79</v>
      </c>
      <c r="S4" t="s">
        <v>139</v>
      </c>
      <c r="T4" t="s">
        <v>140</v>
      </c>
      <c r="U4" t="s">
        <v>141</v>
      </c>
      <c r="V4" t="s">
        <v>142</v>
      </c>
      <c r="W4" t="s">
        <v>143</v>
      </c>
      <c r="X4" t="s">
        <v>144</v>
      </c>
      <c r="Y4" t="s">
        <v>145</v>
      </c>
      <c r="Z4" t="s">
        <v>146</v>
      </c>
      <c r="AA4" t="s">
        <v>147</v>
      </c>
      <c r="AB4" t="s">
        <v>148</v>
      </c>
      <c r="AC4" t="s">
        <v>149</v>
      </c>
      <c r="AD4" t="s">
        <v>150</v>
      </c>
      <c r="AE4" t="s">
        <v>151</v>
      </c>
      <c r="AF4" t="s">
        <v>152</v>
      </c>
      <c r="AG4" t="s">
        <v>153</v>
      </c>
      <c r="AH4" t="s">
        <v>154</v>
      </c>
      <c r="AI4" t="s">
        <v>155</v>
      </c>
      <c r="AJ4" t="s">
        <v>156</v>
      </c>
      <c r="AK4" t="s">
        <v>157</v>
      </c>
      <c r="AL4" t="s">
        <v>158</v>
      </c>
      <c r="AM4" t="s">
        <v>159</v>
      </c>
      <c r="AN4" t="s">
        <v>160</v>
      </c>
      <c r="AO4" t="s">
        <v>161</v>
      </c>
      <c r="AP4" t="s">
        <v>162</v>
      </c>
      <c r="AQ4" t="s">
        <v>163</v>
      </c>
      <c r="AR4" t="s">
        <v>164</v>
      </c>
      <c r="AS4" t="s">
        <v>165</v>
      </c>
      <c r="AT4" t="s">
        <v>166</v>
      </c>
      <c r="AU4" t="s">
        <v>167</v>
      </c>
      <c r="AV4" t="s">
        <v>168</v>
      </c>
      <c r="AW4" t="s">
        <v>74</v>
      </c>
      <c r="AX4" t="s">
        <v>75</v>
      </c>
    </row>
    <row r="5" spans="1:50" ht="23.1" customHeight="1" x14ac:dyDescent="0.3">
      <c r="A5" s="61" t="s">
        <v>169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3"/>
    </row>
    <row r="6" spans="1:50" ht="23.1" customHeight="1" x14ac:dyDescent="0.3">
      <c r="A6" s="14" t="s">
        <v>112</v>
      </c>
      <c r="B6" s="17"/>
      <c r="C6" s="15" t="s">
        <v>28</v>
      </c>
      <c r="D6" s="16">
        <v>20</v>
      </c>
      <c r="E6" s="16">
        <f>ROUNDDOWN(일위대가목록!G5, 2)</f>
        <v>0</v>
      </c>
      <c r="F6" s="16">
        <f>ROUNDDOWN(D6*E6, 0)</f>
        <v>0</v>
      </c>
      <c r="G6" s="16">
        <f>ROUNDDOWN(일위대가목록!I5, 0)</f>
        <v>7449</v>
      </c>
      <c r="H6" s="16">
        <f>ROUNDDOWN(D6*G6, 0)</f>
        <v>148980</v>
      </c>
      <c r="I6" s="16">
        <f>ROUNDDOWN(일위대가목록!K5, 2)</f>
        <v>0</v>
      </c>
      <c r="J6" s="16">
        <f>ROUNDDOWN(D6*I6, 0)</f>
        <v>0</v>
      </c>
      <c r="K6" s="16">
        <f>E6+G6+I6</f>
        <v>7449</v>
      </c>
      <c r="L6" s="16">
        <f>F6+H6+J6</f>
        <v>148980</v>
      </c>
      <c r="M6" s="23" t="s">
        <v>111</v>
      </c>
      <c r="O6" t="str">
        <f>""</f>
        <v/>
      </c>
      <c r="P6" s="11" t="s">
        <v>79</v>
      </c>
      <c r="Q6">
        <v>1</v>
      </c>
      <c r="R6">
        <f>IF(P6="기계경비", J6, 0)</f>
        <v>0</v>
      </c>
      <c r="S6">
        <f>IF(P6="운반비", J6, 0)</f>
        <v>0</v>
      </c>
      <c r="T6">
        <f>IF(P6="작업부산물", F6, 0)</f>
        <v>0</v>
      </c>
      <c r="U6">
        <f>IF(P6="관급", F6, 0)</f>
        <v>0</v>
      </c>
      <c r="V6">
        <f>IF(P6="외주비", J6, 0)</f>
        <v>0</v>
      </c>
      <c r="W6">
        <f>IF(P6="장비비", J6, 0)</f>
        <v>0</v>
      </c>
      <c r="X6">
        <f>IF(P6="폐기물처리비", J6, 0)</f>
        <v>0</v>
      </c>
      <c r="Y6">
        <f>IF(P6="가설비", J6, 0)</f>
        <v>0</v>
      </c>
      <c r="Z6">
        <f>IF(P6="잡비제외분", F6, 0)</f>
        <v>0</v>
      </c>
      <c r="AA6">
        <f>IF(P6="사급자재대", L6, 0)</f>
        <v>0</v>
      </c>
      <c r="AB6">
        <f>IF(P6="관급자재대", L6, 0)</f>
        <v>0</v>
      </c>
      <c r="AC6">
        <f>IF(P6="사용자항목1", L6, 0)</f>
        <v>0</v>
      </c>
      <c r="AD6">
        <f>IF(P6="사용자항목2", L6, 0)</f>
        <v>0</v>
      </c>
      <c r="AE6">
        <f>IF(P6="안전관리비", L6, 0)</f>
        <v>0</v>
      </c>
      <c r="AF6">
        <f>IF(P6="품질관리비", L6, 0)</f>
        <v>0</v>
      </c>
      <c r="AG6">
        <f>IF(P6="사용자항목5", L6, 0)</f>
        <v>0</v>
      </c>
      <c r="AH6">
        <f>IF(P6="사용자항목6", L6, 0)</f>
        <v>0</v>
      </c>
      <c r="AI6">
        <f>IF(P6="사용자항목7", L6, 0)</f>
        <v>0</v>
      </c>
      <c r="AJ6">
        <f>IF(P6="사용자항목8", L6, 0)</f>
        <v>0</v>
      </c>
      <c r="AK6">
        <f>IF(P6="사용자항목9", L6, 0)</f>
        <v>0</v>
      </c>
      <c r="AL6">
        <f>IF(P6="사용자항목10", L6, 0)</f>
        <v>0</v>
      </c>
      <c r="AM6">
        <f>IF(P6="사용자항목11", L6, 0)</f>
        <v>0</v>
      </c>
      <c r="AN6">
        <f>IF(P6="사용자항목12", L6, 0)</f>
        <v>0</v>
      </c>
      <c r="AO6">
        <f>IF(P6="사용자항목13", L6, 0)</f>
        <v>0</v>
      </c>
      <c r="AP6">
        <f>IF(P6="사용자항목14", L6, 0)</f>
        <v>0</v>
      </c>
      <c r="AQ6">
        <f>IF(P6="사용자항목15", L6, 0)</f>
        <v>0</v>
      </c>
      <c r="AR6">
        <f>IF(P6="사용자항목16", L6, 0)</f>
        <v>0</v>
      </c>
      <c r="AS6">
        <f>IF(P6="사용자항목17", L6, 0)</f>
        <v>0</v>
      </c>
      <c r="AT6">
        <f>IF(P6="사용자항목18", L6, 0)</f>
        <v>0</v>
      </c>
      <c r="AU6">
        <f>IF(P6="사용자항목19", L6, 0)</f>
        <v>0</v>
      </c>
    </row>
    <row r="7" spans="1:50" ht="23.1" customHeight="1" x14ac:dyDescent="0.3">
      <c r="A7" s="17"/>
      <c r="B7" s="17"/>
      <c r="C7" s="22"/>
      <c r="D7" s="16"/>
      <c r="E7" s="16"/>
      <c r="F7" s="16"/>
      <c r="G7" s="16"/>
      <c r="H7" s="16"/>
      <c r="I7" s="16"/>
      <c r="J7" s="16"/>
      <c r="K7" s="16"/>
      <c r="L7" s="16"/>
      <c r="M7" s="16"/>
    </row>
    <row r="8" spans="1:50" ht="23.1" customHeight="1" x14ac:dyDescent="0.3">
      <c r="A8" s="17"/>
      <c r="B8" s="17"/>
      <c r="C8" s="22"/>
      <c r="D8" s="16"/>
      <c r="E8" s="16"/>
      <c r="F8" s="16"/>
      <c r="G8" s="16"/>
      <c r="H8" s="16"/>
      <c r="I8" s="16"/>
      <c r="J8" s="16"/>
      <c r="K8" s="16"/>
      <c r="L8" s="16"/>
      <c r="M8" s="16"/>
    </row>
    <row r="9" spans="1:50" ht="23.1" customHeight="1" x14ac:dyDescent="0.3">
      <c r="A9" s="17"/>
      <c r="B9" s="17"/>
      <c r="C9" s="22"/>
      <c r="D9" s="16"/>
      <c r="E9" s="16"/>
      <c r="F9" s="16"/>
      <c r="G9" s="16"/>
      <c r="H9" s="16"/>
      <c r="I9" s="16"/>
      <c r="J9" s="16"/>
      <c r="K9" s="16"/>
      <c r="L9" s="16"/>
      <c r="M9" s="16"/>
    </row>
    <row r="10" spans="1:50" ht="23.1" customHeight="1" x14ac:dyDescent="0.3">
      <c r="A10" s="17"/>
      <c r="B10" s="17"/>
      <c r="C10" s="22"/>
      <c r="D10" s="16"/>
      <c r="E10" s="16"/>
      <c r="F10" s="16"/>
      <c r="G10" s="16"/>
      <c r="H10" s="16"/>
      <c r="I10" s="16"/>
      <c r="J10" s="16"/>
      <c r="K10" s="16"/>
      <c r="L10" s="16"/>
      <c r="M10" s="16"/>
    </row>
    <row r="11" spans="1:50" ht="23.1" customHeight="1" x14ac:dyDescent="0.3">
      <c r="A11" s="17"/>
      <c r="B11" s="17"/>
      <c r="C11" s="22"/>
      <c r="D11" s="16"/>
      <c r="E11" s="16"/>
      <c r="F11" s="16"/>
      <c r="G11" s="16"/>
      <c r="H11" s="16"/>
      <c r="I11" s="16"/>
      <c r="J11" s="16"/>
      <c r="K11" s="16"/>
      <c r="L11" s="16"/>
      <c r="M11" s="16"/>
    </row>
    <row r="12" spans="1:50" ht="23.1" customHeight="1" x14ac:dyDescent="0.3">
      <c r="A12" s="17"/>
      <c r="B12" s="17"/>
      <c r="C12" s="22"/>
      <c r="D12" s="16"/>
      <c r="E12" s="16"/>
      <c r="F12" s="16"/>
      <c r="G12" s="16"/>
      <c r="H12" s="16"/>
      <c r="I12" s="16"/>
      <c r="J12" s="16"/>
      <c r="K12" s="16"/>
      <c r="L12" s="16"/>
      <c r="M12" s="16"/>
    </row>
    <row r="13" spans="1:50" ht="23.1" customHeight="1" x14ac:dyDescent="0.3">
      <c r="A13" s="17"/>
      <c r="B13" s="17"/>
      <c r="C13" s="22"/>
      <c r="D13" s="16"/>
      <c r="E13" s="16"/>
      <c r="F13" s="16"/>
      <c r="G13" s="16"/>
      <c r="H13" s="16"/>
      <c r="I13" s="16"/>
      <c r="J13" s="16"/>
      <c r="K13" s="16"/>
      <c r="L13" s="16"/>
      <c r="M13" s="16"/>
    </row>
    <row r="14" spans="1:50" ht="23.1" customHeight="1" x14ac:dyDescent="0.3">
      <c r="A14" s="17"/>
      <c r="B14" s="17"/>
      <c r="C14" s="22"/>
      <c r="D14" s="16"/>
      <c r="E14" s="16"/>
      <c r="F14" s="16"/>
      <c r="G14" s="16"/>
      <c r="H14" s="16"/>
      <c r="I14" s="16"/>
      <c r="J14" s="16"/>
      <c r="K14" s="16"/>
      <c r="L14" s="16"/>
      <c r="M14" s="16"/>
    </row>
    <row r="15" spans="1:50" ht="23.1" customHeight="1" x14ac:dyDescent="0.3">
      <c r="A15" s="17"/>
      <c r="B15" s="17"/>
      <c r="C15" s="22"/>
      <c r="D15" s="16"/>
      <c r="E15" s="16"/>
      <c r="F15" s="16"/>
      <c r="G15" s="16"/>
      <c r="H15" s="16"/>
      <c r="I15" s="16"/>
      <c r="J15" s="16"/>
      <c r="K15" s="16"/>
      <c r="L15" s="16"/>
      <c r="M15" s="16"/>
    </row>
    <row r="16" spans="1:50" ht="23.1" customHeight="1" x14ac:dyDescent="0.3">
      <c r="A16" s="17"/>
      <c r="B16" s="17"/>
      <c r="C16" s="22"/>
      <c r="D16" s="16"/>
      <c r="E16" s="16"/>
      <c r="F16" s="16"/>
      <c r="G16" s="16"/>
      <c r="H16" s="16"/>
      <c r="I16" s="16"/>
      <c r="J16" s="16"/>
      <c r="K16" s="16"/>
      <c r="L16" s="16"/>
      <c r="M16" s="16"/>
    </row>
    <row r="17" spans="1:50" ht="23.1" customHeight="1" x14ac:dyDescent="0.3">
      <c r="A17" s="17"/>
      <c r="B17" s="17"/>
      <c r="C17" s="22"/>
      <c r="D17" s="16"/>
      <c r="E17" s="16"/>
      <c r="F17" s="16"/>
      <c r="G17" s="16"/>
      <c r="H17" s="16"/>
      <c r="I17" s="16"/>
      <c r="J17" s="16"/>
      <c r="K17" s="16"/>
      <c r="L17" s="16"/>
      <c r="M17" s="16"/>
    </row>
    <row r="18" spans="1:50" ht="23.1" customHeight="1" x14ac:dyDescent="0.3">
      <c r="A18" s="17"/>
      <c r="B18" s="17"/>
      <c r="C18" s="22"/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spans="1:50" ht="23.1" customHeight="1" x14ac:dyDescent="0.3">
      <c r="A19" s="17"/>
      <c r="B19" s="17"/>
      <c r="C19" s="22"/>
      <c r="D19" s="16"/>
      <c r="E19" s="16"/>
      <c r="F19" s="16"/>
      <c r="G19" s="16"/>
      <c r="H19" s="16"/>
      <c r="I19" s="16"/>
      <c r="J19" s="16"/>
      <c r="K19" s="16"/>
      <c r="L19" s="16"/>
      <c r="M19" s="16"/>
    </row>
    <row r="20" spans="1:50" ht="23.1" customHeight="1" x14ac:dyDescent="0.3">
      <c r="A20" s="18" t="s">
        <v>80</v>
      </c>
      <c r="B20" s="19"/>
      <c r="C20" s="20"/>
      <c r="D20" s="21"/>
      <c r="E20" s="21"/>
      <c r="F20" s="21">
        <f>SUM(F6:F19)</f>
        <v>0</v>
      </c>
      <c r="G20" s="21"/>
      <c r="H20" s="21">
        <f t="shared" ref="H20:I20" si="0">SUM(H6:H19)</f>
        <v>148980</v>
      </c>
      <c r="I20" s="21">
        <f t="shared" si="0"/>
        <v>0</v>
      </c>
      <c r="J20" s="21">
        <f>ROUNDDOWN(SUMIF(Q6:Q19, "1", J6:J19), 0)</f>
        <v>0</v>
      </c>
      <c r="K20" s="21"/>
      <c r="L20" s="21">
        <f>F20+H20+J20</f>
        <v>148980</v>
      </c>
      <c r="M20" s="21"/>
      <c r="R20">
        <f t="shared" ref="R20:AX20" si="1">ROUNDDOWN(SUM(R6:R6), 0)</f>
        <v>0</v>
      </c>
      <c r="S20">
        <f t="shared" si="1"/>
        <v>0</v>
      </c>
      <c r="T20">
        <f t="shared" si="1"/>
        <v>0</v>
      </c>
      <c r="U20">
        <f t="shared" si="1"/>
        <v>0</v>
      </c>
      <c r="V20">
        <f t="shared" si="1"/>
        <v>0</v>
      </c>
      <c r="W20">
        <f t="shared" si="1"/>
        <v>0</v>
      </c>
      <c r="X20">
        <f t="shared" si="1"/>
        <v>0</v>
      </c>
      <c r="Y20">
        <f t="shared" si="1"/>
        <v>0</v>
      </c>
      <c r="Z20">
        <f t="shared" si="1"/>
        <v>0</v>
      </c>
      <c r="AA20">
        <f t="shared" si="1"/>
        <v>0</v>
      </c>
      <c r="AB20">
        <f t="shared" si="1"/>
        <v>0</v>
      </c>
      <c r="AC20">
        <f t="shared" si="1"/>
        <v>0</v>
      </c>
      <c r="AD20">
        <f t="shared" si="1"/>
        <v>0</v>
      </c>
      <c r="AE20">
        <f t="shared" si="1"/>
        <v>0</v>
      </c>
      <c r="AF20">
        <f t="shared" si="1"/>
        <v>0</v>
      </c>
      <c r="AG20">
        <f t="shared" si="1"/>
        <v>0</v>
      </c>
      <c r="AH20">
        <f t="shared" si="1"/>
        <v>0</v>
      </c>
      <c r="AI20">
        <f t="shared" si="1"/>
        <v>0</v>
      </c>
      <c r="AJ20">
        <f t="shared" si="1"/>
        <v>0</v>
      </c>
      <c r="AK20">
        <f t="shared" si="1"/>
        <v>0</v>
      </c>
      <c r="AL20">
        <f t="shared" si="1"/>
        <v>0</v>
      </c>
      <c r="AM20">
        <f t="shared" si="1"/>
        <v>0</v>
      </c>
      <c r="AN20">
        <f t="shared" si="1"/>
        <v>0</v>
      </c>
      <c r="AO20">
        <f t="shared" si="1"/>
        <v>0</v>
      </c>
      <c r="AP20">
        <f t="shared" si="1"/>
        <v>0</v>
      </c>
      <c r="AQ20">
        <f t="shared" si="1"/>
        <v>0</v>
      </c>
      <c r="AR20">
        <f t="shared" si="1"/>
        <v>0</v>
      </c>
      <c r="AS20">
        <f t="shared" si="1"/>
        <v>0</v>
      </c>
      <c r="AT20">
        <f t="shared" si="1"/>
        <v>0</v>
      </c>
      <c r="AU20">
        <f t="shared" si="1"/>
        <v>0</v>
      </c>
      <c r="AV20">
        <f t="shared" si="1"/>
        <v>0</v>
      </c>
      <c r="AW20">
        <f t="shared" si="1"/>
        <v>0</v>
      </c>
      <c r="AX20">
        <f t="shared" si="1"/>
        <v>0</v>
      </c>
    </row>
    <row r="21" spans="1:50" ht="23.1" customHeight="1" x14ac:dyDescent="0.3">
      <c r="A21" s="64" t="s">
        <v>170</v>
      </c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</row>
    <row r="22" spans="1:50" ht="23.1" customHeight="1" x14ac:dyDescent="0.3">
      <c r="A22" s="14" t="s">
        <v>115</v>
      </c>
      <c r="B22" s="14" t="s">
        <v>116</v>
      </c>
      <c r="C22" s="15" t="s">
        <v>28</v>
      </c>
      <c r="D22" s="16">
        <v>22</v>
      </c>
      <c r="E22" s="16">
        <f>ROUNDDOWN(일위대가목록!G6, 0)</f>
        <v>16779</v>
      </c>
      <c r="F22" s="16">
        <f t="shared" ref="F22:F28" si="2">ROUNDDOWN(D22*E22, 0)</f>
        <v>369138</v>
      </c>
      <c r="G22" s="16">
        <f>ROUNDDOWN(일위대가목록!I6, 0)</f>
        <v>35083</v>
      </c>
      <c r="H22" s="16">
        <f t="shared" ref="H22:H28" si="3">ROUNDDOWN(D22*G22, 0)</f>
        <v>771826</v>
      </c>
      <c r="I22" s="16">
        <f>ROUNDDOWN(일위대가목록!K6, 0)</f>
        <v>1052</v>
      </c>
      <c r="J22" s="16">
        <f t="shared" ref="J22:J28" si="4">ROUNDDOWN(D22*I22, 0)</f>
        <v>23144</v>
      </c>
      <c r="K22" s="16">
        <f t="shared" ref="K22:L28" si="5">E22+G22+I22</f>
        <v>52914</v>
      </c>
      <c r="L22" s="16">
        <f t="shared" si="5"/>
        <v>1164108</v>
      </c>
      <c r="M22" s="23" t="s">
        <v>114</v>
      </c>
      <c r="O22" t="str">
        <f>""</f>
        <v/>
      </c>
      <c r="P22" s="11" t="s">
        <v>79</v>
      </c>
      <c r="Q22">
        <v>1</v>
      </c>
      <c r="R22">
        <f t="shared" ref="R22:R28" si="6">IF(P22="기계경비", J22, 0)</f>
        <v>23144</v>
      </c>
      <c r="S22">
        <f t="shared" ref="S22:S28" si="7">IF(P22="운반비", J22, 0)</f>
        <v>0</v>
      </c>
      <c r="T22">
        <f t="shared" ref="T22:T28" si="8">IF(P22="작업부산물", F22, 0)</f>
        <v>0</v>
      </c>
      <c r="U22">
        <f t="shared" ref="U22:U28" si="9">IF(P22="관급", F22, 0)</f>
        <v>0</v>
      </c>
      <c r="V22">
        <f t="shared" ref="V22:V28" si="10">IF(P22="외주비", J22, 0)</f>
        <v>0</v>
      </c>
      <c r="W22">
        <f t="shared" ref="W22:W28" si="11">IF(P22="장비비", J22, 0)</f>
        <v>0</v>
      </c>
      <c r="X22">
        <f t="shared" ref="X22:X28" si="12">IF(P22="폐기물처리비", J22, 0)</f>
        <v>0</v>
      </c>
      <c r="Y22">
        <f t="shared" ref="Y22:Y28" si="13">IF(P22="가설비", J22, 0)</f>
        <v>0</v>
      </c>
      <c r="Z22">
        <f t="shared" ref="Z22:Z28" si="14">IF(P22="잡비제외분", F22, 0)</f>
        <v>0</v>
      </c>
      <c r="AA22">
        <f t="shared" ref="AA22:AA28" si="15">IF(P22="사급자재대", L22, 0)</f>
        <v>0</v>
      </c>
      <c r="AB22">
        <f t="shared" ref="AB22:AB28" si="16">IF(P22="관급자재대", L22, 0)</f>
        <v>0</v>
      </c>
      <c r="AC22">
        <f t="shared" ref="AC22:AC28" si="17">IF(P22="사용자항목1", L22, 0)</f>
        <v>0</v>
      </c>
      <c r="AD22">
        <f t="shared" ref="AD22:AD28" si="18">IF(P22="사용자항목2", L22, 0)</f>
        <v>0</v>
      </c>
      <c r="AE22">
        <f t="shared" ref="AE22:AE28" si="19">IF(P22="안전관리비", L22, 0)</f>
        <v>0</v>
      </c>
      <c r="AF22">
        <f t="shared" ref="AF22:AF28" si="20">IF(P22="품질관리비", L22, 0)</f>
        <v>0</v>
      </c>
      <c r="AG22">
        <f t="shared" ref="AG22:AG28" si="21">IF(P22="사용자항목5", L22, 0)</f>
        <v>0</v>
      </c>
      <c r="AH22">
        <f t="shared" ref="AH22:AH28" si="22">IF(P22="사용자항목6", L22, 0)</f>
        <v>0</v>
      </c>
      <c r="AI22">
        <f t="shared" ref="AI22:AI28" si="23">IF(P22="사용자항목7", L22, 0)</f>
        <v>0</v>
      </c>
      <c r="AJ22">
        <f t="shared" ref="AJ22:AJ28" si="24">IF(P22="사용자항목8", L22, 0)</f>
        <v>0</v>
      </c>
      <c r="AK22">
        <f t="shared" ref="AK22:AK28" si="25">IF(P22="사용자항목9", L22, 0)</f>
        <v>0</v>
      </c>
      <c r="AL22">
        <f t="shared" ref="AL22:AL28" si="26">IF(P22="사용자항목10", L22, 0)</f>
        <v>0</v>
      </c>
      <c r="AM22">
        <f t="shared" ref="AM22:AM28" si="27">IF(P22="사용자항목11", L22, 0)</f>
        <v>0</v>
      </c>
      <c r="AN22">
        <f t="shared" ref="AN22:AN28" si="28">IF(P22="사용자항목12", L22, 0)</f>
        <v>0</v>
      </c>
      <c r="AO22">
        <f t="shared" ref="AO22:AO28" si="29">IF(P22="사용자항목13", L22, 0)</f>
        <v>0</v>
      </c>
      <c r="AP22">
        <f t="shared" ref="AP22:AP28" si="30">IF(P22="사용자항목14", L22, 0)</f>
        <v>0</v>
      </c>
      <c r="AQ22">
        <f t="shared" ref="AQ22:AQ28" si="31">IF(P22="사용자항목15", L22, 0)</f>
        <v>0</v>
      </c>
      <c r="AR22">
        <f t="shared" ref="AR22:AR28" si="32">IF(P22="사용자항목16", L22, 0)</f>
        <v>0</v>
      </c>
      <c r="AS22">
        <f t="shared" ref="AS22:AS28" si="33">IF(P22="사용자항목17", L22, 0)</f>
        <v>0</v>
      </c>
      <c r="AT22">
        <f t="shared" ref="AT22:AT28" si="34">IF(P22="사용자항목18", L22, 0)</f>
        <v>0</v>
      </c>
      <c r="AU22">
        <f t="shared" ref="AU22:AU28" si="35">IF(P22="사용자항목19", L22, 0)</f>
        <v>0</v>
      </c>
    </row>
    <row r="23" spans="1:50" ht="23.1" customHeight="1" x14ac:dyDescent="0.3">
      <c r="A23" s="14" t="s">
        <v>118</v>
      </c>
      <c r="B23" s="14" t="s">
        <v>119</v>
      </c>
      <c r="C23" s="15" t="s">
        <v>28</v>
      </c>
      <c r="D23" s="16">
        <v>41</v>
      </c>
      <c r="E23" s="16">
        <f>ROUNDDOWN(일위대가목록!G7, 0)</f>
        <v>4819</v>
      </c>
      <c r="F23" s="16">
        <f t="shared" si="2"/>
        <v>197579</v>
      </c>
      <c r="G23" s="16">
        <f>ROUNDDOWN(일위대가목록!I7, 0)</f>
        <v>17541</v>
      </c>
      <c r="H23" s="16">
        <f t="shared" si="3"/>
        <v>719181</v>
      </c>
      <c r="I23" s="16">
        <f>ROUNDDOWN(일위대가목록!K7, 0)</f>
        <v>350</v>
      </c>
      <c r="J23" s="16">
        <f t="shared" si="4"/>
        <v>14350</v>
      </c>
      <c r="K23" s="16">
        <f t="shared" si="5"/>
        <v>22710</v>
      </c>
      <c r="L23" s="16">
        <f t="shared" si="5"/>
        <v>931110</v>
      </c>
      <c r="M23" s="23" t="s">
        <v>117</v>
      </c>
      <c r="O23" t="str">
        <f>""</f>
        <v/>
      </c>
      <c r="P23" s="11" t="s">
        <v>79</v>
      </c>
      <c r="Q23">
        <v>1</v>
      </c>
      <c r="R23">
        <f t="shared" si="6"/>
        <v>14350</v>
      </c>
      <c r="S23">
        <f t="shared" si="7"/>
        <v>0</v>
      </c>
      <c r="T23">
        <f t="shared" si="8"/>
        <v>0</v>
      </c>
      <c r="U23">
        <f t="shared" si="9"/>
        <v>0</v>
      </c>
      <c r="V23">
        <f t="shared" si="10"/>
        <v>0</v>
      </c>
      <c r="W23">
        <f t="shared" si="11"/>
        <v>0</v>
      </c>
      <c r="X23">
        <f t="shared" si="12"/>
        <v>0</v>
      </c>
      <c r="Y23">
        <f t="shared" si="13"/>
        <v>0</v>
      </c>
      <c r="Z23">
        <f t="shared" si="14"/>
        <v>0</v>
      </c>
      <c r="AA23">
        <f t="shared" si="15"/>
        <v>0</v>
      </c>
      <c r="AB23">
        <f t="shared" si="16"/>
        <v>0</v>
      </c>
      <c r="AC23">
        <f t="shared" si="17"/>
        <v>0</v>
      </c>
      <c r="AD23">
        <f t="shared" si="18"/>
        <v>0</v>
      </c>
      <c r="AE23">
        <f t="shared" si="19"/>
        <v>0</v>
      </c>
      <c r="AF23">
        <f t="shared" si="20"/>
        <v>0</v>
      </c>
      <c r="AG23">
        <f t="shared" si="21"/>
        <v>0</v>
      </c>
      <c r="AH23">
        <f t="shared" si="22"/>
        <v>0</v>
      </c>
      <c r="AI23">
        <f t="shared" si="23"/>
        <v>0</v>
      </c>
      <c r="AJ23">
        <f t="shared" si="24"/>
        <v>0</v>
      </c>
      <c r="AK23">
        <f t="shared" si="25"/>
        <v>0</v>
      </c>
      <c r="AL23">
        <f t="shared" si="26"/>
        <v>0</v>
      </c>
      <c r="AM23">
        <f t="shared" si="27"/>
        <v>0</v>
      </c>
      <c r="AN23">
        <f t="shared" si="28"/>
        <v>0</v>
      </c>
      <c r="AO23">
        <f t="shared" si="29"/>
        <v>0</v>
      </c>
      <c r="AP23">
        <f t="shared" si="30"/>
        <v>0</v>
      </c>
      <c r="AQ23">
        <f t="shared" si="31"/>
        <v>0</v>
      </c>
      <c r="AR23">
        <f t="shared" si="32"/>
        <v>0</v>
      </c>
      <c r="AS23">
        <f t="shared" si="33"/>
        <v>0</v>
      </c>
      <c r="AT23">
        <f t="shared" si="34"/>
        <v>0</v>
      </c>
      <c r="AU23">
        <f t="shared" si="35"/>
        <v>0</v>
      </c>
    </row>
    <row r="24" spans="1:50" ht="23.1" customHeight="1" x14ac:dyDescent="0.3">
      <c r="A24" s="14" t="s">
        <v>171</v>
      </c>
      <c r="B24" s="14" t="s">
        <v>31</v>
      </c>
      <c r="C24" s="15" t="s">
        <v>32</v>
      </c>
      <c r="D24" s="16">
        <v>22</v>
      </c>
      <c r="E24" s="16">
        <f>ROUNDDOWN(단가대비표!O8, 0)</f>
        <v>4700</v>
      </c>
      <c r="F24" s="16">
        <f t="shared" si="2"/>
        <v>103400</v>
      </c>
      <c r="G24" s="16">
        <v>0</v>
      </c>
      <c r="H24" s="16">
        <f t="shared" si="3"/>
        <v>0</v>
      </c>
      <c r="I24" s="16">
        <v>0</v>
      </c>
      <c r="J24" s="16">
        <f t="shared" si="4"/>
        <v>0</v>
      </c>
      <c r="K24" s="16">
        <f t="shared" si="5"/>
        <v>4700</v>
      </c>
      <c r="L24" s="16">
        <f t="shared" si="5"/>
        <v>103400</v>
      </c>
      <c r="M24" s="16"/>
      <c r="O24" t="str">
        <f>"01"</f>
        <v>01</v>
      </c>
      <c r="P24" s="11" t="s">
        <v>79</v>
      </c>
      <c r="Q24">
        <v>1</v>
      </c>
      <c r="R24">
        <f t="shared" si="6"/>
        <v>0</v>
      </c>
      <c r="S24">
        <f t="shared" si="7"/>
        <v>0</v>
      </c>
      <c r="T24">
        <f t="shared" si="8"/>
        <v>0</v>
      </c>
      <c r="U24">
        <f t="shared" si="9"/>
        <v>0</v>
      </c>
      <c r="V24">
        <f t="shared" si="10"/>
        <v>0</v>
      </c>
      <c r="W24">
        <f t="shared" si="11"/>
        <v>0</v>
      </c>
      <c r="X24">
        <f t="shared" si="12"/>
        <v>0</v>
      </c>
      <c r="Y24">
        <f t="shared" si="13"/>
        <v>0</v>
      </c>
      <c r="Z24">
        <f t="shared" si="14"/>
        <v>0</v>
      </c>
      <c r="AA24">
        <f t="shared" si="15"/>
        <v>0</v>
      </c>
      <c r="AB24">
        <f t="shared" si="16"/>
        <v>0</v>
      </c>
      <c r="AC24">
        <f t="shared" si="17"/>
        <v>0</v>
      </c>
      <c r="AD24">
        <f t="shared" si="18"/>
        <v>0</v>
      </c>
      <c r="AE24">
        <f t="shared" si="19"/>
        <v>0</v>
      </c>
      <c r="AF24">
        <f t="shared" si="20"/>
        <v>0</v>
      </c>
      <c r="AG24">
        <f t="shared" si="21"/>
        <v>0</v>
      </c>
      <c r="AH24">
        <f t="shared" si="22"/>
        <v>0</v>
      </c>
      <c r="AI24">
        <f t="shared" si="23"/>
        <v>0</v>
      </c>
      <c r="AJ24">
        <f t="shared" si="24"/>
        <v>0</v>
      </c>
      <c r="AK24">
        <f t="shared" si="25"/>
        <v>0</v>
      </c>
      <c r="AL24">
        <f t="shared" si="26"/>
        <v>0</v>
      </c>
      <c r="AM24">
        <f t="shared" si="27"/>
        <v>0</v>
      </c>
      <c r="AN24">
        <f t="shared" si="28"/>
        <v>0</v>
      </c>
      <c r="AO24">
        <f t="shared" si="29"/>
        <v>0</v>
      </c>
      <c r="AP24">
        <f t="shared" si="30"/>
        <v>0</v>
      </c>
      <c r="AQ24">
        <f t="shared" si="31"/>
        <v>0</v>
      </c>
      <c r="AR24">
        <f t="shared" si="32"/>
        <v>0</v>
      </c>
      <c r="AS24">
        <f t="shared" si="33"/>
        <v>0</v>
      </c>
      <c r="AT24">
        <f t="shared" si="34"/>
        <v>0</v>
      </c>
      <c r="AU24">
        <f t="shared" si="35"/>
        <v>0</v>
      </c>
    </row>
    <row r="25" spans="1:50" ht="23.1" customHeight="1" x14ac:dyDescent="0.3">
      <c r="A25" s="14" t="s">
        <v>121</v>
      </c>
      <c r="B25" s="14" t="s">
        <v>122</v>
      </c>
      <c r="C25" s="15" t="s">
        <v>123</v>
      </c>
      <c r="D25" s="16">
        <v>22</v>
      </c>
      <c r="E25" s="16">
        <f>ROUNDDOWN(일위대가목록!G8, 0)</f>
        <v>70</v>
      </c>
      <c r="F25" s="16">
        <f t="shared" si="2"/>
        <v>1540</v>
      </c>
      <c r="G25" s="16">
        <f>ROUNDDOWN(일위대가목록!I8, 0)</f>
        <v>7012</v>
      </c>
      <c r="H25" s="16">
        <f t="shared" si="3"/>
        <v>154264</v>
      </c>
      <c r="I25" s="16">
        <f>ROUNDDOWN(일위대가목록!K8, 2)</f>
        <v>0</v>
      </c>
      <c r="J25" s="16">
        <f t="shared" si="4"/>
        <v>0</v>
      </c>
      <c r="K25" s="16">
        <f t="shared" si="5"/>
        <v>7082</v>
      </c>
      <c r="L25" s="16">
        <f t="shared" si="5"/>
        <v>155804</v>
      </c>
      <c r="M25" s="23" t="s">
        <v>120</v>
      </c>
      <c r="O25" t="str">
        <f>""</f>
        <v/>
      </c>
      <c r="P25" s="11" t="s">
        <v>79</v>
      </c>
      <c r="Q25">
        <v>1</v>
      </c>
      <c r="R25">
        <f t="shared" si="6"/>
        <v>0</v>
      </c>
      <c r="S25">
        <f t="shared" si="7"/>
        <v>0</v>
      </c>
      <c r="T25">
        <f t="shared" si="8"/>
        <v>0</v>
      </c>
      <c r="U25">
        <f t="shared" si="9"/>
        <v>0</v>
      </c>
      <c r="V25">
        <f t="shared" si="10"/>
        <v>0</v>
      </c>
      <c r="W25">
        <f t="shared" si="11"/>
        <v>0</v>
      </c>
      <c r="X25">
        <f t="shared" si="12"/>
        <v>0</v>
      </c>
      <c r="Y25">
        <f t="shared" si="13"/>
        <v>0</v>
      </c>
      <c r="Z25">
        <f t="shared" si="14"/>
        <v>0</v>
      </c>
      <c r="AA25">
        <f t="shared" si="15"/>
        <v>0</v>
      </c>
      <c r="AB25">
        <f t="shared" si="16"/>
        <v>0</v>
      </c>
      <c r="AC25">
        <f t="shared" si="17"/>
        <v>0</v>
      </c>
      <c r="AD25">
        <f t="shared" si="18"/>
        <v>0</v>
      </c>
      <c r="AE25">
        <f t="shared" si="19"/>
        <v>0</v>
      </c>
      <c r="AF25">
        <f t="shared" si="20"/>
        <v>0</v>
      </c>
      <c r="AG25">
        <f t="shared" si="21"/>
        <v>0</v>
      </c>
      <c r="AH25">
        <f t="shared" si="22"/>
        <v>0</v>
      </c>
      <c r="AI25">
        <f t="shared" si="23"/>
        <v>0</v>
      </c>
      <c r="AJ25">
        <f t="shared" si="24"/>
        <v>0</v>
      </c>
      <c r="AK25">
        <f t="shared" si="25"/>
        <v>0</v>
      </c>
      <c r="AL25">
        <f t="shared" si="26"/>
        <v>0</v>
      </c>
      <c r="AM25">
        <f t="shared" si="27"/>
        <v>0</v>
      </c>
      <c r="AN25">
        <f t="shared" si="28"/>
        <v>0</v>
      </c>
      <c r="AO25">
        <f t="shared" si="29"/>
        <v>0</v>
      </c>
      <c r="AP25">
        <f t="shared" si="30"/>
        <v>0</v>
      </c>
      <c r="AQ25">
        <f t="shared" si="31"/>
        <v>0</v>
      </c>
      <c r="AR25">
        <f t="shared" si="32"/>
        <v>0</v>
      </c>
      <c r="AS25">
        <f t="shared" si="33"/>
        <v>0</v>
      </c>
      <c r="AT25">
        <f t="shared" si="34"/>
        <v>0</v>
      </c>
      <c r="AU25">
        <f t="shared" si="35"/>
        <v>0</v>
      </c>
    </row>
    <row r="26" spans="1:50" ht="23.1" customHeight="1" x14ac:dyDescent="0.3">
      <c r="A26" s="14" t="s">
        <v>125</v>
      </c>
      <c r="B26" s="14" t="s">
        <v>126</v>
      </c>
      <c r="C26" s="15" t="s">
        <v>127</v>
      </c>
      <c r="D26" s="16">
        <v>15</v>
      </c>
      <c r="E26" s="16">
        <f>ROUNDDOWN(일위대가목록!G9, 0)</f>
        <v>121</v>
      </c>
      <c r="F26" s="16">
        <f t="shared" si="2"/>
        <v>1815</v>
      </c>
      <c r="G26" s="16">
        <f>ROUNDDOWN(일위대가목록!I9, 0)</f>
        <v>2897</v>
      </c>
      <c r="H26" s="16">
        <f t="shared" si="3"/>
        <v>43455</v>
      </c>
      <c r="I26" s="16">
        <f>ROUNDDOWN(일위대가목록!K9, 2)</f>
        <v>0</v>
      </c>
      <c r="J26" s="16">
        <f t="shared" si="4"/>
        <v>0</v>
      </c>
      <c r="K26" s="16">
        <f t="shared" si="5"/>
        <v>3018</v>
      </c>
      <c r="L26" s="16">
        <f t="shared" si="5"/>
        <v>45270</v>
      </c>
      <c r="M26" s="23" t="s">
        <v>124</v>
      </c>
      <c r="O26" t="str">
        <f>""</f>
        <v/>
      </c>
      <c r="P26" s="11" t="s">
        <v>79</v>
      </c>
      <c r="Q26">
        <v>1</v>
      </c>
      <c r="R26">
        <f t="shared" si="6"/>
        <v>0</v>
      </c>
      <c r="S26">
        <f t="shared" si="7"/>
        <v>0</v>
      </c>
      <c r="T26">
        <f t="shared" si="8"/>
        <v>0</v>
      </c>
      <c r="U26">
        <f t="shared" si="9"/>
        <v>0</v>
      </c>
      <c r="V26">
        <f t="shared" si="10"/>
        <v>0</v>
      </c>
      <c r="W26">
        <f t="shared" si="11"/>
        <v>0</v>
      </c>
      <c r="X26">
        <f t="shared" si="12"/>
        <v>0</v>
      </c>
      <c r="Y26">
        <f t="shared" si="13"/>
        <v>0</v>
      </c>
      <c r="Z26">
        <f t="shared" si="14"/>
        <v>0</v>
      </c>
      <c r="AA26">
        <f t="shared" si="15"/>
        <v>0</v>
      </c>
      <c r="AB26">
        <f t="shared" si="16"/>
        <v>0</v>
      </c>
      <c r="AC26">
        <f t="shared" si="17"/>
        <v>0</v>
      </c>
      <c r="AD26">
        <f t="shared" si="18"/>
        <v>0</v>
      </c>
      <c r="AE26">
        <f t="shared" si="19"/>
        <v>0</v>
      </c>
      <c r="AF26">
        <f t="shared" si="20"/>
        <v>0</v>
      </c>
      <c r="AG26">
        <f t="shared" si="21"/>
        <v>0</v>
      </c>
      <c r="AH26">
        <f t="shared" si="22"/>
        <v>0</v>
      </c>
      <c r="AI26">
        <f t="shared" si="23"/>
        <v>0</v>
      </c>
      <c r="AJ26">
        <f t="shared" si="24"/>
        <v>0</v>
      </c>
      <c r="AK26">
        <f t="shared" si="25"/>
        <v>0</v>
      </c>
      <c r="AL26">
        <f t="shared" si="26"/>
        <v>0</v>
      </c>
      <c r="AM26">
        <f t="shared" si="27"/>
        <v>0</v>
      </c>
      <c r="AN26">
        <f t="shared" si="28"/>
        <v>0</v>
      </c>
      <c r="AO26">
        <f t="shared" si="29"/>
        <v>0</v>
      </c>
      <c r="AP26">
        <f t="shared" si="30"/>
        <v>0</v>
      </c>
      <c r="AQ26">
        <f t="shared" si="31"/>
        <v>0</v>
      </c>
      <c r="AR26">
        <f t="shared" si="32"/>
        <v>0</v>
      </c>
      <c r="AS26">
        <f t="shared" si="33"/>
        <v>0</v>
      </c>
      <c r="AT26">
        <f t="shared" si="34"/>
        <v>0</v>
      </c>
      <c r="AU26">
        <f t="shared" si="35"/>
        <v>0</v>
      </c>
    </row>
    <row r="27" spans="1:50" ht="23.1" customHeight="1" x14ac:dyDescent="0.3">
      <c r="A27" s="14" t="s">
        <v>129</v>
      </c>
      <c r="B27" s="14" t="s">
        <v>130</v>
      </c>
      <c r="C27" s="15" t="s">
        <v>49</v>
      </c>
      <c r="D27" s="16">
        <v>15</v>
      </c>
      <c r="E27" s="16">
        <f>ROUNDDOWN(일위대가목록!G10, 0)</f>
        <v>2508</v>
      </c>
      <c r="F27" s="16">
        <f t="shared" si="2"/>
        <v>37620</v>
      </c>
      <c r="G27" s="16">
        <f>ROUNDDOWN(일위대가목록!I10, 0)</f>
        <v>8523</v>
      </c>
      <c r="H27" s="16">
        <f t="shared" si="3"/>
        <v>127845</v>
      </c>
      <c r="I27" s="16">
        <f>ROUNDDOWN(일위대가목록!K10, 0)</f>
        <v>340</v>
      </c>
      <c r="J27" s="16">
        <f t="shared" si="4"/>
        <v>5100</v>
      </c>
      <c r="K27" s="16">
        <f t="shared" si="5"/>
        <v>11371</v>
      </c>
      <c r="L27" s="16">
        <f t="shared" si="5"/>
        <v>170565</v>
      </c>
      <c r="M27" s="23" t="s">
        <v>128</v>
      </c>
      <c r="O27" t="str">
        <f>""</f>
        <v/>
      </c>
      <c r="P27" s="11" t="s">
        <v>79</v>
      </c>
      <c r="Q27">
        <v>1</v>
      </c>
      <c r="R27">
        <f t="shared" si="6"/>
        <v>5100</v>
      </c>
      <c r="S27">
        <f t="shared" si="7"/>
        <v>0</v>
      </c>
      <c r="T27">
        <f t="shared" si="8"/>
        <v>0</v>
      </c>
      <c r="U27">
        <f t="shared" si="9"/>
        <v>0</v>
      </c>
      <c r="V27">
        <f t="shared" si="10"/>
        <v>0</v>
      </c>
      <c r="W27">
        <f t="shared" si="11"/>
        <v>0</v>
      </c>
      <c r="X27">
        <f t="shared" si="12"/>
        <v>0</v>
      </c>
      <c r="Y27">
        <f t="shared" si="13"/>
        <v>0</v>
      </c>
      <c r="Z27">
        <f t="shared" si="14"/>
        <v>0</v>
      </c>
      <c r="AA27">
        <f t="shared" si="15"/>
        <v>0</v>
      </c>
      <c r="AB27">
        <f t="shared" si="16"/>
        <v>0</v>
      </c>
      <c r="AC27">
        <f t="shared" si="17"/>
        <v>0</v>
      </c>
      <c r="AD27">
        <f t="shared" si="18"/>
        <v>0</v>
      </c>
      <c r="AE27">
        <f t="shared" si="19"/>
        <v>0</v>
      </c>
      <c r="AF27">
        <f t="shared" si="20"/>
        <v>0</v>
      </c>
      <c r="AG27">
        <f t="shared" si="21"/>
        <v>0</v>
      </c>
      <c r="AH27">
        <f t="shared" si="22"/>
        <v>0</v>
      </c>
      <c r="AI27">
        <f t="shared" si="23"/>
        <v>0</v>
      </c>
      <c r="AJ27">
        <f t="shared" si="24"/>
        <v>0</v>
      </c>
      <c r="AK27">
        <f t="shared" si="25"/>
        <v>0</v>
      </c>
      <c r="AL27">
        <f t="shared" si="26"/>
        <v>0</v>
      </c>
      <c r="AM27">
        <f t="shared" si="27"/>
        <v>0</v>
      </c>
      <c r="AN27">
        <f t="shared" si="28"/>
        <v>0</v>
      </c>
      <c r="AO27">
        <f t="shared" si="29"/>
        <v>0</v>
      </c>
      <c r="AP27">
        <f t="shared" si="30"/>
        <v>0</v>
      </c>
      <c r="AQ27">
        <f t="shared" si="31"/>
        <v>0</v>
      </c>
      <c r="AR27">
        <f t="shared" si="32"/>
        <v>0</v>
      </c>
      <c r="AS27">
        <f t="shared" si="33"/>
        <v>0</v>
      </c>
      <c r="AT27">
        <f t="shared" si="34"/>
        <v>0</v>
      </c>
      <c r="AU27">
        <f t="shared" si="35"/>
        <v>0</v>
      </c>
    </row>
    <row r="28" spans="1:50" ht="23.1" customHeight="1" x14ac:dyDescent="0.3">
      <c r="A28" s="14" t="s">
        <v>172</v>
      </c>
      <c r="B28" s="14" t="s">
        <v>38</v>
      </c>
      <c r="C28" s="15" t="s">
        <v>28</v>
      </c>
      <c r="D28" s="16">
        <v>41</v>
      </c>
      <c r="E28" s="16">
        <f>ROUNDDOWN(단가대비표!O9, 0)</f>
        <v>38000</v>
      </c>
      <c r="F28" s="16">
        <f t="shared" si="2"/>
        <v>1558000</v>
      </c>
      <c r="G28" s="16">
        <v>0</v>
      </c>
      <c r="H28" s="16">
        <f t="shared" si="3"/>
        <v>0</v>
      </c>
      <c r="I28" s="16">
        <v>0</v>
      </c>
      <c r="J28" s="16">
        <f t="shared" si="4"/>
        <v>0</v>
      </c>
      <c r="K28" s="16">
        <f t="shared" si="5"/>
        <v>38000</v>
      </c>
      <c r="L28" s="16">
        <f t="shared" si="5"/>
        <v>1558000</v>
      </c>
      <c r="M28" s="16"/>
      <c r="O28" t="str">
        <f>"01"</f>
        <v>01</v>
      </c>
      <c r="P28" s="11" t="s">
        <v>79</v>
      </c>
      <c r="Q28">
        <v>1</v>
      </c>
      <c r="R28">
        <f t="shared" si="6"/>
        <v>0</v>
      </c>
      <c r="S28">
        <f t="shared" si="7"/>
        <v>0</v>
      </c>
      <c r="T28">
        <f t="shared" si="8"/>
        <v>0</v>
      </c>
      <c r="U28">
        <f t="shared" si="9"/>
        <v>0</v>
      </c>
      <c r="V28">
        <f t="shared" si="10"/>
        <v>0</v>
      </c>
      <c r="W28">
        <f t="shared" si="11"/>
        <v>0</v>
      </c>
      <c r="X28">
        <f t="shared" si="12"/>
        <v>0</v>
      </c>
      <c r="Y28">
        <f t="shared" si="13"/>
        <v>0</v>
      </c>
      <c r="Z28">
        <f t="shared" si="14"/>
        <v>0</v>
      </c>
      <c r="AA28">
        <f t="shared" si="15"/>
        <v>0</v>
      </c>
      <c r="AB28">
        <f t="shared" si="16"/>
        <v>0</v>
      </c>
      <c r="AC28">
        <f t="shared" si="17"/>
        <v>0</v>
      </c>
      <c r="AD28">
        <f t="shared" si="18"/>
        <v>0</v>
      </c>
      <c r="AE28">
        <f t="shared" si="19"/>
        <v>0</v>
      </c>
      <c r="AF28">
        <f t="shared" si="20"/>
        <v>0</v>
      </c>
      <c r="AG28">
        <f t="shared" si="21"/>
        <v>0</v>
      </c>
      <c r="AH28">
        <f t="shared" si="22"/>
        <v>0</v>
      </c>
      <c r="AI28">
        <f t="shared" si="23"/>
        <v>0</v>
      </c>
      <c r="AJ28">
        <f t="shared" si="24"/>
        <v>0</v>
      </c>
      <c r="AK28">
        <f t="shared" si="25"/>
        <v>0</v>
      </c>
      <c r="AL28">
        <f t="shared" si="26"/>
        <v>0</v>
      </c>
      <c r="AM28">
        <f t="shared" si="27"/>
        <v>0</v>
      </c>
      <c r="AN28">
        <f t="shared" si="28"/>
        <v>0</v>
      </c>
      <c r="AO28">
        <f t="shared" si="29"/>
        <v>0</v>
      </c>
      <c r="AP28">
        <f t="shared" si="30"/>
        <v>0</v>
      </c>
      <c r="AQ28">
        <f t="shared" si="31"/>
        <v>0</v>
      </c>
      <c r="AR28">
        <f t="shared" si="32"/>
        <v>0</v>
      </c>
      <c r="AS28">
        <f t="shared" si="33"/>
        <v>0</v>
      </c>
      <c r="AT28">
        <f t="shared" si="34"/>
        <v>0</v>
      </c>
      <c r="AU28">
        <f t="shared" si="35"/>
        <v>0</v>
      </c>
    </row>
    <row r="29" spans="1:50" ht="23.1" customHeight="1" x14ac:dyDescent="0.3">
      <c r="A29" s="17"/>
      <c r="B29" s="17"/>
      <c r="C29" s="22"/>
      <c r="D29" s="16"/>
      <c r="E29" s="16"/>
      <c r="F29" s="16"/>
      <c r="G29" s="16"/>
      <c r="H29" s="16"/>
      <c r="I29" s="16"/>
      <c r="J29" s="16"/>
      <c r="K29" s="16"/>
      <c r="L29" s="16"/>
      <c r="M29" s="16"/>
    </row>
    <row r="30" spans="1:50" ht="23.1" customHeight="1" x14ac:dyDescent="0.3">
      <c r="A30" s="17"/>
      <c r="B30" s="17"/>
      <c r="C30" s="22"/>
      <c r="D30" s="16"/>
      <c r="E30" s="16"/>
      <c r="F30" s="16"/>
      <c r="G30" s="16"/>
      <c r="H30" s="16"/>
      <c r="I30" s="16"/>
      <c r="J30" s="16"/>
      <c r="K30" s="16"/>
      <c r="L30" s="16"/>
      <c r="M30" s="16"/>
    </row>
    <row r="31" spans="1:50" ht="23.1" customHeight="1" x14ac:dyDescent="0.3">
      <c r="A31" s="17"/>
      <c r="B31" s="17"/>
      <c r="C31" s="22"/>
      <c r="D31" s="16"/>
      <c r="E31" s="16"/>
      <c r="F31" s="16"/>
      <c r="G31" s="16"/>
      <c r="H31" s="16"/>
      <c r="I31" s="16"/>
      <c r="J31" s="16"/>
      <c r="K31" s="16"/>
      <c r="L31" s="16"/>
      <c r="M31" s="16"/>
    </row>
    <row r="32" spans="1:50" ht="23.1" customHeight="1" x14ac:dyDescent="0.3">
      <c r="A32" s="17"/>
      <c r="B32" s="17"/>
      <c r="C32" s="22"/>
      <c r="D32" s="16"/>
      <c r="E32" s="16"/>
      <c r="F32" s="16"/>
      <c r="G32" s="16"/>
      <c r="H32" s="16"/>
      <c r="I32" s="16"/>
      <c r="J32" s="16"/>
      <c r="K32" s="16"/>
      <c r="L32" s="16"/>
      <c r="M32" s="16"/>
    </row>
    <row r="33" spans="1:50" ht="23.1" customHeight="1" x14ac:dyDescent="0.3">
      <c r="A33" s="17"/>
      <c r="B33" s="17"/>
      <c r="C33" s="22"/>
      <c r="D33" s="16"/>
      <c r="E33" s="16"/>
      <c r="F33" s="16"/>
      <c r="G33" s="16"/>
      <c r="H33" s="16"/>
      <c r="I33" s="16"/>
      <c r="J33" s="16"/>
      <c r="K33" s="16"/>
      <c r="L33" s="16"/>
      <c r="M33" s="16"/>
    </row>
    <row r="34" spans="1:50" ht="23.1" customHeight="1" x14ac:dyDescent="0.3">
      <c r="A34" s="17"/>
      <c r="B34" s="17"/>
      <c r="C34" s="22"/>
      <c r="D34" s="16"/>
      <c r="E34" s="16"/>
      <c r="F34" s="16"/>
      <c r="G34" s="16"/>
      <c r="H34" s="16"/>
      <c r="I34" s="16"/>
      <c r="J34" s="16"/>
      <c r="K34" s="16"/>
      <c r="L34" s="16"/>
      <c r="M34" s="16"/>
    </row>
    <row r="35" spans="1:50" ht="23.1" customHeight="1" x14ac:dyDescent="0.3">
      <c r="A35" s="17"/>
      <c r="B35" s="17"/>
      <c r="C35" s="22"/>
      <c r="D35" s="16"/>
      <c r="E35" s="16"/>
      <c r="F35" s="16"/>
      <c r="G35" s="16"/>
      <c r="H35" s="16"/>
      <c r="I35" s="16"/>
      <c r="J35" s="16"/>
      <c r="K35" s="16"/>
      <c r="L35" s="16"/>
      <c r="M35" s="16"/>
    </row>
    <row r="36" spans="1:50" ht="23.1" customHeight="1" x14ac:dyDescent="0.3">
      <c r="A36" s="18" t="s">
        <v>80</v>
      </c>
      <c r="B36" s="19"/>
      <c r="C36" s="20"/>
      <c r="D36" s="21"/>
      <c r="E36" s="21"/>
      <c r="F36" s="21">
        <f>SUM(F22:F35)</f>
        <v>2269092</v>
      </c>
      <c r="G36" s="21"/>
      <c r="H36" s="21">
        <f t="shared" ref="H36:J36" si="36">SUM(H22:H35)</f>
        <v>1816571</v>
      </c>
      <c r="I36" s="21"/>
      <c r="J36" s="21">
        <f t="shared" si="36"/>
        <v>42594</v>
      </c>
      <c r="K36" s="21"/>
      <c r="L36" s="21">
        <f>F36+H36+J36</f>
        <v>4128257</v>
      </c>
      <c r="M36" s="21"/>
      <c r="R36">
        <f t="shared" ref="R36:AX36" si="37">ROUNDDOWN(SUM(R22:R28), 0)</f>
        <v>42594</v>
      </c>
      <c r="S36">
        <f t="shared" si="37"/>
        <v>0</v>
      </c>
      <c r="T36">
        <f t="shared" si="37"/>
        <v>0</v>
      </c>
      <c r="U36">
        <f t="shared" si="37"/>
        <v>0</v>
      </c>
      <c r="V36">
        <f t="shared" si="37"/>
        <v>0</v>
      </c>
      <c r="W36">
        <f t="shared" si="37"/>
        <v>0</v>
      </c>
      <c r="X36">
        <f t="shared" si="37"/>
        <v>0</v>
      </c>
      <c r="Y36">
        <f t="shared" si="37"/>
        <v>0</v>
      </c>
      <c r="Z36">
        <f t="shared" si="37"/>
        <v>0</v>
      </c>
      <c r="AA36">
        <f t="shared" si="37"/>
        <v>0</v>
      </c>
      <c r="AB36">
        <f t="shared" si="37"/>
        <v>0</v>
      </c>
      <c r="AC36">
        <f t="shared" si="37"/>
        <v>0</v>
      </c>
      <c r="AD36">
        <f t="shared" si="37"/>
        <v>0</v>
      </c>
      <c r="AE36">
        <f t="shared" si="37"/>
        <v>0</v>
      </c>
      <c r="AF36">
        <f t="shared" si="37"/>
        <v>0</v>
      </c>
      <c r="AG36">
        <f t="shared" si="37"/>
        <v>0</v>
      </c>
      <c r="AH36">
        <f t="shared" si="37"/>
        <v>0</v>
      </c>
      <c r="AI36">
        <f t="shared" si="37"/>
        <v>0</v>
      </c>
      <c r="AJ36">
        <f t="shared" si="37"/>
        <v>0</v>
      </c>
      <c r="AK36">
        <f t="shared" si="37"/>
        <v>0</v>
      </c>
      <c r="AL36">
        <f t="shared" si="37"/>
        <v>0</v>
      </c>
      <c r="AM36">
        <f t="shared" si="37"/>
        <v>0</v>
      </c>
      <c r="AN36">
        <f t="shared" si="37"/>
        <v>0</v>
      </c>
      <c r="AO36">
        <f t="shared" si="37"/>
        <v>0</v>
      </c>
      <c r="AP36">
        <f t="shared" si="37"/>
        <v>0</v>
      </c>
      <c r="AQ36">
        <f t="shared" si="37"/>
        <v>0</v>
      </c>
      <c r="AR36">
        <f t="shared" si="37"/>
        <v>0</v>
      </c>
      <c r="AS36">
        <f t="shared" si="37"/>
        <v>0</v>
      </c>
      <c r="AT36">
        <f t="shared" si="37"/>
        <v>0</v>
      </c>
      <c r="AU36">
        <f t="shared" si="37"/>
        <v>0</v>
      </c>
      <c r="AV36">
        <f t="shared" si="37"/>
        <v>0</v>
      </c>
      <c r="AW36">
        <f t="shared" si="37"/>
        <v>0</v>
      </c>
      <c r="AX36">
        <f t="shared" si="37"/>
        <v>0</v>
      </c>
    </row>
    <row r="37" spans="1:50" ht="23.1" customHeight="1" x14ac:dyDescent="0.3">
      <c r="A37" s="64" t="s">
        <v>173</v>
      </c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</row>
    <row r="38" spans="1:50" ht="23.1" customHeight="1" x14ac:dyDescent="0.3">
      <c r="A38" s="14" t="s">
        <v>253</v>
      </c>
      <c r="B38" s="14" t="s">
        <v>133</v>
      </c>
      <c r="C38" s="15" t="s">
        <v>134</v>
      </c>
      <c r="D38" s="16">
        <v>3</v>
      </c>
      <c r="E38" s="16">
        <f>ROUNDDOWN(일위대가목록!G11, 0)</f>
        <v>3105</v>
      </c>
      <c r="F38" s="16">
        <f>ROUNDDOWN(D38*E38, 0)</f>
        <v>9315</v>
      </c>
      <c r="G38" s="16">
        <f>ROUNDDOWN(일위대가목록!I11, 0)</f>
        <v>103507</v>
      </c>
      <c r="H38" s="16">
        <f>ROUNDDOWN(D38*G38, 0)</f>
        <v>310521</v>
      </c>
      <c r="I38" s="16">
        <f>ROUNDDOWN(일위대가목록!K11, 2)</f>
        <v>0</v>
      </c>
      <c r="J38" s="16">
        <f>ROUNDDOWN(D38*I38, 0)</f>
        <v>0</v>
      </c>
      <c r="K38" s="16">
        <f>E38+G38+I38</f>
        <v>106612</v>
      </c>
      <c r="L38" s="16">
        <f>F38+H38+J38</f>
        <v>319836</v>
      </c>
      <c r="M38" s="23" t="s">
        <v>131</v>
      </c>
      <c r="O38" t="str">
        <f>""</f>
        <v/>
      </c>
      <c r="P38" s="11" t="s">
        <v>79</v>
      </c>
      <c r="Q38">
        <v>1</v>
      </c>
      <c r="R38">
        <f>IF(P38="기계경비", J38, 0)</f>
        <v>0</v>
      </c>
      <c r="S38">
        <f>IF(P38="운반비", J38, 0)</f>
        <v>0</v>
      </c>
      <c r="T38">
        <f>IF(P38="작업부산물", F38, 0)</f>
        <v>0</v>
      </c>
      <c r="U38">
        <f>IF(P38="관급", F38, 0)</f>
        <v>0</v>
      </c>
      <c r="V38">
        <f>IF(P38="외주비", J38, 0)</f>
        <v>0</v>
      </c>
      <c r="W38">
        <f>IF(P38="장비비", J38, 0)</f>
        <v>0</v>
      </c>
      <c r="X38">
        <f>IF(P38="폐기물처리비", J38, 0)</f>
        <v>0</v>
      </c>
      <c r="Y38">
        <f>IF(P38="가설비", J38, 0)</f>
        <v>0</v>
      </c>
      <c r="Z38">
        <f>IF(P38="잡비제외분", F38, 0)</f>
        <v>0</v>
      </c>
      <c r="AA38">
        <f>IF(P38="사급자재대", L38, 0)</f>
        <v>0</v>
      </c>
      <c r="AB38">
        <f>IF(P38="관급자재대", L38, 0)</f>
        <v>0</v>
      </c>
      <c r="AC38">
        <f>IF(P38="사용자항목1", L38, 0)</f>
        <v>0</v>
      </c>
      <c r="AD38">
        <f>IF(P38="사용자항목2", L38, 0)</f>
        <v>0</v>
      </c>
      <c r="AE38">
        <f>IF(P38="안전관리비", L38, 0)</f>
        <v>0</v>
      </c>
      <c r="AF38">
        <f>IF(P38="품질관리비", L38, 0)</f>
        <v>0</v>
      </c>
      <c r="AG38">
        <f>IF(P38="사용자항목5", L38, 0)</f>
        <v>0</v>
      </c>
      <c r="AH38">
        <f>IF(P38="사용자항목6", L38, 0)</f>
        <v>0</v>
      </c>
      <c r="AI38">
        <f>IF(P38="사용자항목7", L38, 0)</f>
        <v>0</v>
      </c>
      <c r="AJ38">
        <f>IF(P38="사용자항목8", L38, 0)</f>
        <v>0</v>
      </c>
      <c r="AK38">
        <f>IF(P38="사용자항목9", L38, 0)</f>
        <v>0</v>
      </c>
      <c r="AL38">
        <f>IF(P38="사용자항목10", L38, 0)</f>
        <v>0</v>
      </c>
      <c r="AM38">
        <f>IF(P38="사용자항목11", L38, 0)</f>
        <v>0</v>
      </c>
      <c r="AN38">
        <f>IF(P38="사용자항목12", L38, 0)</f>
        <v>0</v>
      </c>
      <c r="AO38">
        <f>IF(P38="사용자항목13", L38, 0)</f>
        <v>0</v>
      </c>
      <c r="AP38">
        <f>IF(P38="사용자항목14", L38, 0)</f>
        <v>0</v>
      </c>
      <c r="AQ38">
        <f>IF(P38="사용자항목15", L38, 0)</f>
        <v>0</v>
      </c>
      <c r="AR38">
        <f>IF(P38="사용자항목16", L38, 0)</f>
        <v>0</v>
      </c>
      <c r="AS38">
        <f>IF(P38="사용자항목17", L38, 0)</f>
        <v>0</v>
      </c>
      <c r="AT38">
        <f>IF(P38="사용자항목18", L38, 0)</f>
        <v>0</v>
      </c>
      <c r="AU38">
        <f>IF(P38="사용자항목19", L38, 0)</f>
        <v>0</v>
      </c>
    </row>
    <row r="39" spans="1:50" ht="23.1" customHeight="1" x14ac:dyDescent="0.3">
      <c r="A39" s="17" t="s">
        <v>254</v>
      </c>
      <c r="B39" s="17" t="s">
        <v>255</v>
      </c>
      <c r="C39" s="22" t="s">
        <v>256</v>
      </c>
      <c r="D39" s="16">
        <v>3</v>
      </c>
      <c r="E39" s="16">
        <v>2500000</v>
      </c>
      <c r="F39" s="16">
        <f>ROUNDDOWN(D39*E39, 0)</f>
        <v>7500000</v>
      </c>
      <c r="G39" s="16"/>
      <c r="H39" s="16"/>
      <c r="I39" s="16"/>
      <c r="J39" s="16"/>
      <c r="K39" s="16">
        <f>E39+G39+I39</f>
        <v>2500000</v>
      </c>
      <c r="L39" s="16">
        <f>F39+H39+J39</f>
        <v>7500000</v>
      </c>
      <c r="M39" s="16"/>
    </row>
    <row r="40" spans="1:50" ht="23.1" customHeight="1" x14ac:dyDescent="0.3">
      <c r="A40" s="17"/>
      <c r="B40" s="17"/>
      <c r="C40" s="22"/>
      <c r="D40" s="16"/>
      <c r="E40" s="16"/>
      <c r="F40" s="16"/>
      <c r="G40" s="16"/>
      <c r="H40" s="16"/>
      <c r="I40" s="16"/>
      <c r="J40" s="16"/>
      <c r="K40" s="16"/>
      <c r="L40" s="16"/>
      <c r="M40" s="16"/>
    </row>
    <row r="41" spans="1:50" ht="23.1" customHeight="1" x14ac:dyDescent="0.3">
      <c r="A41" s="17"/>
      <c r="B41" s="17"/>
      <c r="C41" s="22"/>
      <c r="D41" s="16"/>
      <c r="E41" s="16"/>
      <c r="F41" s="16"/>
      <c r="G41" s="16"/>
      <c r="H41" s="16"/>
      <c r="I41" s="16"/>
      <c r="J41" s="16"/>
      <c r="K41" s="16"/>
      <c r="L41" s="16"/>
      <c r="M41" s="16"/>
    </row>
    <row r="42" spans="1:50" ht="23.1" customHeight="1" x14ac:dyDescent="0.3">
      <c r="A42" s="17"/>
      <c r="B42" s="17"/>
      <c r="C42" s="22"/>
      <c r="D42" s="16"/>
      <c r="E42" s="16"/>
      <c r="F42" s="16"/>
      <c r="G42" s="16"/>
      <c r="H42" s="16"/>
      <c r="I42" s="16"/>
      <c r="J42" s="16"/>
      <c r="K42" s="16"/>
      <c r="L42" s="16"/>
      <c r="M42" s="16"/>
    </row>
    <row r="43" spans="1:50" ht="23.1" customHeight="1" x14ac:dyDescent="0.3">
      <c r="A43" s="17"/>
      <c r="B43" s="17"/>
      <c r="C43" s="22"/>
      <c r="D43" s="16"/>
      <c r="E43" s="16"/>
      <c r="F43" s="16"/>
      <c r="G43" s="16"/>
      <c r="H43" s="16"/>
      <c r="I43" s="16"/>
      <c r="J43" s="16"/>
      <c r="K43" s="16"/>
      <c r="L43" s="16"/>
      <c r="M43" s="16"/>
    </row>
    <row r="44" spans="1:50" ht="23.1" customHeight="1" x14ac:dyDescent="0.3">
      <c r="A44" s="17"/>
      <c r="B44" s="17"/>
      <c r="C44" s="22"/>
      <c r="D44" s="16"/>
      <c r="E44" s="16"/>
      <c r="F44" s="16"/>
      <c r="G44" s="16"/>
      <c r="H44" s="16"/>
      <c r="I44" s="16"/>
      <c r="J44" s="16"/>
      <c r="K44" s="16"/>
      <c r="L44" s="16"/>
      <c r="M44" s="16"/>
    </row>
    <row r="45" spans="1:50" ht="23.1" customHeight="1" x14ac:dyDescent="0.3">
      <c r="A45" s="17"/>
      <c r="B45" s="17"/>
      <c r="C45" s="22"/>
      <c r="D45" s="16"/>
      <c r="E45" s="16"/>
      <c r="F45" s="16"/>
      <c r="G45" s="16"/>
      <c r="H45" s="16"/>
      <c r="I45" s="16"/>
      <c r="J45" s="16"/>
      <c r="K45" s="16"/>
      <c r="L45" s="16"/>
      <c r="M45" s="16"/>
    </row>
    <row r="46" spans="1:50" ht="23.1" customHeight="1" x14ac:dyDescent="0.3">
      <c r="A46" s="17"/>
      <c r="B46" s="17"/>
      <c r="C46" s="22"/>
      <c r="D46" s="16"/>
      <c r="E46" s="16"/>
      <c r="F46" s="16"/>
      <c r="G46" s="16"/>
      <c r="H46" s="16"/>
      <c r="I46" s="16"/>
      <c r="J46" s="16"/>
      <c r="K46" s="16"/>
      <c r="L46" s="16"/>
      <c r="M46" s="16"/>
    </row>
    <row r="47" spans="1:50" ht="23.1" customHeight="1" x14ac:dyDescent="0.3">
      <c r="A47" s="17"/>
      <c r="B47" s="17"/>
      <c r="C47" s="22"/>
      <c r="D47" s="16"/>
      <c r="E47" s="16"/>
      <c r="F47" s="16"/>
      <c r="G47" s="16"/>
      <c r="H47" s="16"/>
      <c r="I47" s="16"/>
      <c r="J47" s="16"/>
      <c r="K47" s="16"/>
      <c r="L47" s="16"/>
      <c r="M47" s="16"/>
    </row>
    <row r="48" spans="1:50" ht="23.1" customHeight="1" x14ac:dyDescent="0.3">
      <c r="A48" s="17"/>
      <c r="B48" s="17"/>
      <c r="C48" s="22"/>
      <c r="D48" s="16"/>
      <c r="E48" s="16"/>
      <c r="F48" s="16"/>
      <c r="G48" s="16"/>
      <c r="H48" s="16"/>
      <c r="I48" s="16"/>
      <c r="J48" s="16"/>
      <c r="K48" s="16"/>
      <c r="L48" s="16"/>
      <c r="M48" s="16"/>
    </row>
    <row r="49" spans="1:50" ht="23.1" customHeight="1" x14ac:dyDescent="0.3">
      <c r="A49" s="17"/>
      <c r="B49" s="17"/>
      <c r="C49" s="22"/>
      <c r="D49" s="16"/>
      <c r="E49" s="16"/>
      <c r="F49" s="16"/>
      <c r="G49" s="16"/>
      <c r="H49" s="16"/>
      <c r="I49" s="16"/>
      <c r="J49" s="16"/>
      <c r="K49" s="16"/>
      <c r="L49" s="16"/>
      <c r="M49" s="16"/>
    </row>
    <row r="50" spans="1:50" ht="23.1" customHeight="1" x14ac:dyDescent="0.3">
      <c r="A50" s="17"/>
      <c r="B50" s="17"/>
      <c r="C50" s="22"/>
      <c r="D50" s="16"/>
      <c r="E50" s="16"/>
      <c r="F50" s="16"/>
      <c r="G50" s="16"/>
      <c r="H50" s="16"/>
      <c r="I50" s="16"/>
      <c r="J50" s="16"/>
      <c r="K50" s="16"/>
      <c r="L50" s="16"/>
      <c r="M50" s="16"/>
    </row>
    <row r="51" spans="1:50" ht="23.1" customHeight="1" x14ac:dyDescent="0.3">
      <c r="A51" s="17"/>
      <c r="B51" s="17"/>
      <c r="C51" s="22"/>
      <c r="D51" s="16"/>
      <c r="E51" s="16"/>
      <c r="F51" s="16"/>
      <c r="G51" s="16"/>
      <c r="H51" s="16"/>
      <c r="I51" s="16"/>
      <c r="J51" s="16"/>
      <c r="K51" s="16"/>
      <c r="L51" s="16"/>
      <c r="M51" s="16"/>
    </row>
    <row r="52" spans="1:50" ht="23.1" customHeight="1" x14ac:dyDescent="0.3">
      <c r="A52" s="18" t="s">
        <v>80</v>
      </c>
      <c r="B52" s="19"/>
      <c r="C52" s="20"/>
      <c r="D52" s="21"/>
      <c r="E52" s="21"/>
      <c r="F52" s="21">
        <f>SUM(F38:F51)</f>
        <v>7509315</v>
      </c>
      <c r="G52" s="21"/>
      <c r="H52" s="21">
        <f t="shared" ref="H52" si="38">SUM(H38:H51)</f>
        <v>310521</v>
      </c>
      <c r="I52" s="21"/>
      <c r="J52" s="21">
        <f>ROUNDDOWN(SUMIF(Q38:Q51, "1", J38:J51), 0)</f>
        <v>0</v>
      </c>
      <c r="K52" s="21"/>
      <c r="L52" s="21">
        <f>F52+H52+J52</f>
        <v>7819836</v>
      </c>
      <c r="M52" s="21"/>
      <c r="R52">
        <f t="shared" ref="R52:AX52" si="39">ROUNDDOWN(SUM(R38:R38), 0)</f>
        <v>0</v>
      </c>
      <c r="S52">
        <f t="shared" si="39"/>
        <v>0</v>
      </c>
      <c r="T52">
        <f t="shared" si="39"/>
        <v>0</v>
      </c>
      <c r="U52">
        <f t="shared" si="39"/>
        <v>0</v>
      </c>
      <c r="V52">
        <f t="shared" si="39"/>
        <v>0</v>
      </c>
      <c r="W52">
        <f t="shared" si="39"/>
        <v>0</v>
      </c>
      <c r="X52">
        <f t="shared" si="39"/>
        <v>0</v>
      </c>
      <c r="Y52">
        <f t="shared" si="39"/>
        <v>0</v>
      </c>
      <c r="Z52">
        <f t="shared" si="39"/>
        <v>0</v>
      </c>
      <c r="AA52">
        <f t="shared" si="39"/>
        <v>0</v>
      </c>
      <c r="AB52">
        <f t="shared" si="39"/>
        <v>0</v>
      </c>
      <c r="AC52">
        <f t="shared" si="39"/>
        <v>0</v>
      </c>
      <c r="AD52">
        <f t="shared" si="39"/>
        <v>0</v>
      </c>
      <c r="AE52">
        <f t="shared" si="39"/>
        <v>0</v>
      </c>
      <c r="AF52">
        <f t="shared" si="39"/>
        <v>0</v>
      </c>
      <c r="AG52">
        <f t="shared" si="39"/>
        <v>0</v>
      </c>
      <c r="AH52">
        <f t="shared" si="39"/>
        <v>0</v>
      </c>
      <c r="AI52">
        <f t="shared" si="39"/>
        <v>0</v>
      </c>
      <c r="AJ52">
        <f t="shared" si="39"/>
        <v>0</v>
      </c>
      <c r="AK52">
        <f t="shared" si="39"/>
        <v>0</v>
      </c>
      <c r="AL52">
        <f t="shared" si="39"/>
        <v>0</v>
      </c>
      <c r="AM52">
        <f t="shared" si="39"/>
        <v>0</v>
      </c>
      <c r="AN52">
        <f t="shared" si="39"/>
        <v>0</v>
      </c>
      <c r="AO52">
        <f t="shared" si="39"/>
        <v>0</v>
      </c>
      <c r="AP52">
        <f t="shared" si="39"/>
        <v>0</v>
      </c>
      <c r="AQ52">
        <f t="shared" si="39"/>
        <v>0</v>
      </c>
      <c r="AR52">
        <f t="shared" si="39"/>
        <v>0</v>
      </c>
      <c r="AS52">
        <f t="shared" si="39"/>
        <v>0</v>
      </c>
      <c r="AT52">
        <f t="shared" si="39"/>
        <v>0</v>
      </c>
      <c r="AU52">
        <f t="shared" si="39"/>
        <v>0</v>
      </c>
      <c r="AV52">
        <f t="shared" si="39"/>
        <v>0</v>
      </c>
      <c r="AW52">
        <f t="shared" si="39"/>
        <v>0</v>
      </c>
      <c r="AX52">
        <f t="shared" si="39"/>
        <v>0</v>
      </c>
    </row>
    <row r="53" spans="1:50" ht="23.1" customHeight="1" x14ac:dyDescent="0.3">
      <c r="A53" s="64" t="s">
        <v>174</v>
      </c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</row>
    <row r="54" spans="1:50" ht="23.1" customHeight="1" x14ac:dyDescent="0.3">
      <c r="A54" s="14" t="s">
        <v>23</v>
      </c>
      <c r="B54" s="14" t="s">
        <v>24</v>
      </c>
      <c r="C54" s="15" t="s">
        <v>25</v>
      </c>
      <c r="D54" s="16">
        <v>22</v>
      </c>
      <c r="E54" s="16">
        <f>ROUNDDOWN(단가대비표!O6, 0)</f>
        <v>53000</v>
      </c>
      <c r="F54" s="16">
        <f>ROUNDDOWN(D54*E54, 0)</f>
        <v>1166000</v>
      </c>
      <c r="G54" s="16">
        <v>0</v>
      </c>
      <c r="H54" s="16">
        <f>ROUNDDOWN(D54*G54, 0)</f>
        <v>0</v>
      </c>
      <c r="I54" s="16">
        <v>0</v>
      </c>
      <c r="J54" s="16">
        <f>ROUNDDOWN(D54*I54, 0)</f>
        <v>0</v>
      </c>
      <c r="K54" s="16">
        <f t="shared" ref="K54:L56" si="40">E54+G54+I54</f>
        <v>53000</v>
      </c>
      <c r="L54" s="16">
        <f t="shared" si="40"/>
        <v>1166000</v>
      </c>
      <c r="M54" s="16"/>
      <c r="O54" t="str">
        <f>"01"</f>
        <v>01</v>
      </c>
      <c r="P54" s="11" t="s">
        <v>79</v>
      </c>
      <c r="Q54">
        <v>1</v>
      </c>
      <c r="R54">
        <f>IF(P54="기계경비", J54, 0)</f>
        <v>0</v>
      </c>
      <c r="S54">
        <f>IF(P54="운반비", J54, 0)</f>
        <v>0</v>
      </c>
      <c r="T54">
        <f>IF(P54="작업부산물", F54, 0)</f>
        <v>0</v>
      </c>
      <c r="U54">
        <f>IF(P54="관급", F54, 0)</f>
        <v>0</v>
      </c>
      <c r="V54">
        <f>IF(P54="외주비", J54, 0)</f>
        <v>0</v>
      </c>
      <c r="W54">
        <f>IF(P54="장비비", J54, 0)</f>
        <v>0</v>
      </c>
      <c r="X54">
        <f>IF(P54="폐기물처리비", J54, 0)</f>
        <v>0</v>
      </c>
      <c r="Y54">
        <f>IF(P54="가설비", J54, 0)</f>
        <v>0</v>
      </c>
      <c r="Z54">
        <f>IF(P54="잡비제외분", F54, 0)</f>
        <v>0</v>
      </c>
      <c r="AA54">
        <f>IF(P54="사급자재대", L54, 0)</f>
        <v>0</v>
      </c>
      <c r="AB54">
        <f>IF(P54="관급자재대", L54, 0)</f>
        <v>0</v>
      </c>
      <c r="AC54">
        <f>IF(P54="사용자항목1", L54, 0)</f>
        <v>0</v>
      </c>
      <c r="AD54">
        <f>IF(P54="사용자항목2", L54, 0)</f>
        <v>0</v>
      </c>
      <c r="AE54">
        <f>IF(P54="안전관리비", L54, 0)</f>
        <v>0</v>
      </c>
      <c r="AF54">
        <f>IF(P54="품질관리비", L54, 0)</f>
        <v>0</v>
      </c>
      <c r="AG54">
        <f>IF(P54="사용자항목5", L54, 0)</f>
        <v>0</v>
      </c>
      <c r="AH54">
        <f>IF(P54="사용자항목6", L54, 0)</f>
        <v>0</v>
      </c>
      <c r="AI54">
        <f>IF(P54="사용자항목7", L54, 0)</f>
        <v>0</v>
      </c>
      <c r="AJ54">
        <f>IF(P54="사용자항목8", L54, 0)</f>
        <v>0</v>
      </c>
      <c r="AK54">
        <f>IF(P54="사용자항목9", L54, 0)</f>
        <v>0</v>
      </c>
      <c r="AL54">
        <f>IF(P54="사용자항목10", L54, 0)</f>
        <v>0</v>
      </c>
      <c r="AM54">
        <f>IF(P54="사용자항목11", L54, 0)</f>
        <v>0</v>
      </c>
      <c r="AN54">
        <f>IF(P54="사용자항목12", L54, 0)</f>
        <v>0</v>
      </c>
      <c r="AO54">
        <f>IF(P54="사용자항목13", L54, 0)</f>
        <v>0</v>
      </c>
      <c r="AP54">
        <f>IF(P54="사용자항목14", L54, 0)</f>
        <v>0</v>
      </c>
      <c r="AQ54">
        <f>IF(P54="사용자항목15", L54, 0)</f>
        <v>0</v>
      </c>
      <c r="AR54">
        <f>IF(P54="사용자항목16", L54, 0)</f>
        <v>0</v>
      </c>
      <c r="AS54">
        <f>IF(P54="사용자항목17", L54, 0)</f>
        <v>0</v>
      </c>
      <c r="AT54">
        <f>IF(P54="사용자항목18", L54, 0)</f>
        <v>0</v>
      </c>
      <c r="AU54">
        <f>IF(P54="사용자항목19", L54, 0)</f>
        <v>0</v>
      </c>
    </row>
    <row r="55" spans="1:50" ht="23.1" customHeight="1" x14ac:dyDescent="0.3">
      <c r="A55" s="14" t="s">
        <v>23</v>
      </c>
      <c r="B55" s="14" t="s">
        <v>27</v>
      </c>
      <c r="C55" s="15" t="s">
        <v>28</v>
      </c>
      <c r="D55" s="16">
        <v>1</v>
      </c>
      <c r="E55" s="16">
        <f>ROUNDDOWN(단가대비표!O7, 0)</f>
        <v>150000</v>
      </c>
      <c r="F55" s="16">
        <f>ROUNDDOWN(D55*E55, 0)</f>
        <v>150000</v>
      </c>
      <c r="G55" s="16">
        <v>0</v>
      </c>
      <c r="H55" s="16">
        <f>ROUNDDOWN(D55*G55, 0)</f>
        <v>0</v>
      </c>
      <c r="I55" s="16">
        <v>0</v>
      </c>
      <c r="J55" s="16">
        <f>ROUNDDOWN(D55*I55, 0)</f>
        <v>0</v>
      </c>
      <c r="K55" s="16">
        <f t="shared" si="40"/>
        <v>150000</v>
      </c>
      <c r="L55" s="16">
        <f t="shared" si="40"/>
        <v>150000</v>
      </c>
      <c r="M55" s="16"/>
      <c r="O55" t="str">
        <f>"01"</f>
        <v>01</v>
      </c>
      <c r="P55" s="11" t="s">
        <v>79</v>
      </c>
      <c r="Q55">
        <v>1</v>
      </c>
      <c r="R55">
        <f>IF(P55="기계경비", J55, 0)</f>
        <v>0</v>
      </c>
      <c r="S55">
        <f>IF(P55="운반비", J55, 0)</f>
        <v>0</v>
      </c>
      <c r="T55">
        <f>IF(P55="작업부산물", F55, 0)</f>
        <v>0</v>
      </c>
      <c r="U55">
        <f>IF(P55="관급", F55, 0)</f>
        <v>0</v>
      </c>
      <c r="V55">
        <f>IF(P55="외주비", J55, 0)</f>
        <v>0</v>
      </c>
      <c r="W55">
        <f>IF(P55="장비비", J55, 0)</f>
        <v>0</v>
      </c>
      <c r="X55">
        <f>IF(P55="폐기물처리비", J55, 0)</f>
        <v>0</v>
      </c>
      <c r="Y55">
        <f>IF(P55="가설비", J55, 0)</f>
        <v>0</v>
      </c>
      <c r="Z55">
        <f>IF(P55="잡비제외분", F55, 0)</f>
        <v>0</v>
      </c>
      <c r="AA55">
        <f>IF(P55="사급자재대", L55, 0)</f>
        <v>0</v>
      </c>
      <c r="AB55">
        <f>IF(P55="관급자재대", L55, 0)</f>
        <v>0</v>
      </c>
      <c r="AC55">
        <f>IF(P55="사용자항목1", L55, 0)</f>
        <v>0</v>
      </c>
      <c r="AD55">
        <f>IF(P55="사용자항목2", L55, 0)</f>
        <v>0</v>
      </c>
      <c r="AE55">
        <f>IF(P55="안전관리비", L55, 0)</f>
        <v>0</v>
      </c>
      <c r="AF55">
        <f>IF(P55="품질관리비", L55, 0)</f>
        <v>0</v>
      </c>
      <c r="AG55">
        <f>IF(P55="사용자항목5", L55, 0)</f>
        <v>0</v>
      </c>
      <c r="AH55">
        <f>IF(P55="사용자항목6", L55, 0)</f>
        <v>0</v>
      </c>
      <c r="AI55">
        <f>IF(P55="사용자항목7", L55, 0)</f>
        <v>0</v>
      </c>
      <c r="AJ55">
        <f>IF(P55="사용자항목8", L55, 0)</f>
        <v>0</v>
      </c>
      <c r="AK55">
        <f>IF(P55="사용자항목9", L55, 0)</f>
        <v>0</v>
      </c>
      <c r="AL55">
        <f>IF(P55="사용자항목10", L55, 0)</f>
        <v>0</v>
      </c>
      <c r="AM55">
        <f>IF(P55="사용자항목11", L55, 0)</f>
        <v>0</v>
      </c>
      <c r="AN55">
        <f>IF(P55="사용자항목12", L55, 0)</f>
        <v>0</v>
      </c>
      <c r="AO55">
        <f>IF(P55="사용자항목13", L55, 0)</f>
        <v>0</v>
      </c>
      <c r="AP55">
        <f>IF(P55="사용자항목14", L55, 0)</f>
        <v>0</v>
      </c>
      <c r="AQ55">
        <f>IF(P55="사용자항목15", L55, 0)</f>
        <v>0</v>
      </c>
      <c r="AR55">
        <f>IF(P55="사용자항목16", L55, 0)</f>
        <v>0</v>
      </c>
      <c r="AS55">
        <f>IF(P55="사용자항목17", L55, 0)</f>
        <v>0</v>
      </c>
      <c r="AT55">
        <f>IF(P55="사용자항목18", L55, 0)</f>
        <v>0</v>
      </c>
      <c r="AU55">
        <f>IF(P55="사용자항목19", L55, 0)</f>
        <v>0</v>
      </c>
    </row>
    <row r="56" spans="1:50" ht="23.1" customHeight="1" x14ac:dyDescent="0.3">
      <c r="A56" s="17" t="s">
        <v>257</v>
      </c>
      <c r="B56" s="17" t="s">
        <v>259</v>
      </c>
      <c r="C56" s="22" t="s">
        <v>258</v>
      </c>
      <c r="D56" s="16">
        <v>4</v>
      </c>
      <c r="E56" s="16">
        <v>400000</v>
      </c>
      <c r="F56" s="16">
        <f>ROUNDDOWN(D56*E56, 0)</f>
        <v>1600000</v>
      </c>
      <c r="G56" s="16"/>
      <c r="H56" s="16"/>
      <c r="I56" s="16"/>
      <c r="J56" s="16"/>
      <c r="K56" s="16">
        <f t="shared" si="40"/>
        <v>400000</v>
      </c>
      <c r="L56" s="16">
        <f t="shared" si="40"/>
        <v>1600000</v>
      </c>
      <c r="M56" s="16"/>
    </row>
    <row r="57" spans="1:50" ht="23.1" customHeight="1" x14ac:dyDescent="0.3">
      <c r="A57" s="17"/>
      <c r="B57" s="17"/>
      <c r="C57" s="22"/>
      <c r="D57" s="16"/>
      <c r="E57" s="16"/>
      <c r="F57" s="16"/>
      <c r="G57" s="16"/>
      <c r="H57" s="16"/>
      <c r="I57" s="16"/>
      <c r="J57" s="16"/>
      <c r="K57" s="16"/>
      <c r="L57" s="16"/>
      <c r="M57" s="16"/>
    </row>
    <row r="58" spans="1:50" ht="23.1" customHeight="1" x14ac:dyDescent="0.3">
      <c r="A58" s="17"/>
      <c r="B58" s="17"/>
      <c r="C58" s="22"/>
      <c r="D58" s="16"/>
      <c r="E58" s="16"/>
      <c r="F58" s="16"/>
      <c r="G58" s="16"/>
      <c r="H58" s="16"/>
      <c r="I58" s="16"/>
      <c r="J58" s="16"/>
      <c r="K58" s="16"/>
      <c r="L58" s="16"/>
      <c r="M58" s="16"/>
    </row>
    <row r="59" spans="1:50" ht="23.1" customHeight="1" x14ac:dyDescent="0.3">
      <c r="A59" s="17"/>
      <c r="B59" s="17"/>
      <c r="C59" s="22"/>
      <c r="D59" s="16"/>
      <c r="E59" s="16"/>
      <c r="F59" s="16"/>
      <c r="G59" s="16"/>
      <c r="H59" s="16"/>
      <c r="I59" s="16"/>
      <c r="J59" s="16"/>
      <c r="K59" s="16"/>
      <c r="L59" s="16"/>
      <c r="M59" s="16"/>
    </row>
    <row r="60" spans="1:50" ht="23.1" customHeight="1" x14ac:dyDescent="0.3">
      <c r="A60" s="17"/>
      <c r="B60" s="17"/>
      <c r="C60" s="22"/>
      <c r="D60" s="16"/>
      <c r="E60" s="16"/>
      <c r="F60" s="16"/>
      <c r="G60" s="16"/>
      <c r="H60" s="16"/>
      <c r="I60" s="16"/>
      <c r="J60" s="16"/>
      <c r="K60" s="16"/>
      <c r="L60" s="16"/>
      <c r="M60" s="16"/>
    </row>
    <row r="61" spans="1:50" ht="23.1" customHeight="1" x14ac:dyDescent="0.3">
      <c r="A61" s="17"/>
      <c r="B61" s="17"/>
      <c r="C61" s="22"/>
      <c r="D61" s="16"/>
      <c r="E61" s="16"/>
      <c r="F61" s="16"/>
      <c r="G61" s="16"/>
      <c r="H61" s="16"/>
      <c r="I61" s="16"/>
      <c r="J61" s="16"/>
      <c r="K61" s="16"/>
      <c r="L61" s="16"/>
      <c r="M61" s="16"/>
    </row>
    <row r="62" spans="1:50" ht="23.1" customHeight="1" x14ac:dyDescent="0.3">
      <c r="A62" s="17"/>
      <c r="B62" s="17"/>
      <c r="C62" s="22"/>
      <c r="D62" s="16"/>
      <c r="E62" s="16"/>
      <c r="F62" s="16"/>
      <c r="G62" s="16"/>
      <c r="H62" s="16"/>
      <c r="I62" s="16"/>
      <c r="J62" s="16"/>
      <c r="K62" s="16"/>
      <c r="L62" s="16"/>
      <c r="M62" s="16"/>
    </row>
    <row r="63" spans="1:50" ht="23.1" customHeight="1" x14ac:dyDescent="0.3">
      <c r="A63" s="17"/>
      <c r="B63" s="17"/>
      <c r="C63" s="22"/>
      <c r="D63" s="16"/>
      <c r="E63" s="16"/>
      <c r="F63" s="16"/>
      <c r="G63" s="16"/>
      <c r="H63" s="16"/>
      <c r="I63" s="16"/>
      <c r="J63" s="16"/>
      <c r="K63" s="16"/>
      <c r="L63" s="16"/>
      <c r="M63" s="16"/>
    </row>
    <row r="64" spans="1:50" ht="23.1" customHeight="1" x14ac:dyDescent="0.3">
      <c r="A64" s="17"/>
      <c r="B64" s="17"/>
      <c r="C64" s="22"/>
      <c r="D64" s="16"/>
      <c r="E64" s="16"/>
      <c r="F64" s="16"/>
      <c r="G64" s="16"/>
      <c r="H64" s="16"/>
      <c r="I64" s="16"/>
      <c r="J64" s="16"/>
      <c r="K64" s="16"/>
      <c r="L64" s="16"/>
      <c r="M64" s="16"/>
    </row>
    <row r="65" spans="1:50" ht="23.1" customHeight="1" x14ac:dyDescent="0.3">
      <c r="A65" s="17"/>
      <c r="B65" s="17"/>
      <c r="C65" s="22"/>
      <c r="D65" s="16"/>
      <c r="E65" s="16"/>
      <c r="F65" s="16"/>
      <c r="G65" s="16"/>
      <c r="H65" s="16"/>
      <c r="I65" s="16"/>
      <c r="J65" s="16"/>
      <c r="K65" s="16"/>
      <c r="L65" s="16"/>
      <c r="M65" s="16"/>
    </row>
    <row r="66" spans="1:50" ht="23.1" customHeight="1" x14ac:dyDescent="0.3">
      <c r="A66" s="17"/>
      <c r="B66" s="17"/>
      <c r="C66" s="22"/>
      <c r="D66" s="16"/>
      <c r="E66" s="16"/>
      <c r="F66" s="16"/>
      <c r="G66" s="16"/>
      <c r="H66" s="16"/>
      <c r="I66" s="16"/>
      <c r="J66" s="16"/>
      <c r="K66" s="16"/>
      <c r="L66" s="16"/>
      <c r="M66" s="16"/>
    </row>
    <row r="67" spans="1:50" ht="23.1" customHeight="1" x14ac:dyDescent="0.3">
      <c r="A67" s="17"/>
      <c r="B67" s="17"/>
      <c r="C67" s="22"/>
      <c r="D67" s="16"/>
      <c r="E67" s="16"/>
      <c r="F67" s="16"/>
      <c r="G67" s="16"/>
      <c r="H67" s="16"/>
      <c r="I67" s="16"/>
      <c r="J67" s="16"/>
      <c r="K67" s="16"/>
      <c r="L67" s="16"/>
      <c r="M67" s="16"/>
    </row>
    <row r="68" spans="1:50" ht="23.1" customHeight="1" x14ac:dyDescent="0.3">
      <c r="A68" s="18" t="s">
        <v>80</v>
      </c>
      <c r="B68" s="19"/>
      <c r="C68" s="20"/>
      <c r="D68" s="21"/>
      <c r="E68" s="21"/>
      <c r="F68" s="21">
        <f>SUM(F54:F67)</f>
        <v>2916000</v>
      </c>
      <c r="G68" s="21"/>
      <c r="H68" s="21">
        <f>ROUNDDOWN(SUMIF(Q54:Q67, "1", H54:H67), 0)</f>
        <v>0</v>
      </c>
      <c r="I68" s="21"/>
      <c r="J68" s="21">
        <f>ROUNDDOWN(SUMIF(Q54:Q67, "1", J54:J67), 0)</f>
        <v>0</v>
      </c>
      <c r="K68" s="21"/>
      <c r="L68" s="21">
        <f>F68+H68+J68</f>
        <v>2916000</v>
      </c>
      <c r="M68" s="21"/>
      <c r="R68">
        <f t="shared" ref="R68:AX68" si="41">ROUNDDOWN(SUM(R54:R55), 0)</f>
        <v>0</v>
      </c>
      <c r="S68">
        <f t="shared" si="41"/>
        <v>0</v>
      </c>
      <c r="T68">
        <f t="shared" si="41"/>
        <v>0</v>
      </c>
      <c r="U68">
        <f t="shared" si="41"/>
        <v>0</v>
      </c>
      <c r="V68">
        <f t="shared" si="41"/>
        <v>0</v>
      </c>
      <c r="W68">
        <f t="shared" si="41"/>
        <v>0</v>
      </c>
      <c r="X68">
        <f t="shared" si="41"/>
        <v>0</v>
      </c>
      <c r="Y68">
        <f t="shared" si="41"/>
        <v>0</v>
      </c>
      <c r="Z68">
        <f t="shared" si="41"/>
        <v>0</v>
      </c>
      <c r="AA68">
        <f t="shared" si="41"/>
        <v>0</v>
      </c>
      <c r="AB68">
        <f t="shared" si="41"/>
        <v>0</v>
      </c>
      <c r="AC68">
        <f t="shared" si="41"/>
        <v>0</v>
      </c>
      <c r="AD68">
        <f t="shared" si="41"/>
        <v>0</v>
      </c>
      <c r="AE68">
        <f t="shared" si="41"/>
        <v>0</v>
      </c>
      <c r="AF68">
        <f t="shared" si="41"/>
        <v>0</v>
      </c>
      <c r="AG68">
        <f t="shared" si="41"/>
        <v>0</v>
      </c>
      <c r="AH68">
        <f t="shared" si="41"/>
        <v>0</v>
      </c>
      <c r="AI68">
        <f t="shared" si="41"/>
        <v>0</v>
      </c>
      <c r="AJ68">
        <f t="shared" si="41"/>
        <v>0</v>
      </c>
      <c r="AK68">
        <f t="shared" si="41"/>
        <v>0</v>
      </c>
      <c r="AL68">
        <f t="shared" si="41"/>
        <v>0</v>
      </c>
      <c r="AM68">
        <f t="shared" si="41"/>
        <v>0</v>
      </c>
      <c r="AN68">
        <f t="shared" si="41"/>
        <v>0</v>
      </c>
      <c r="AO68">
        <f t="shared" si="41"/>
        <v>0</v>
      </c>
      <c r="AP68">
        <f t="shared" si="41"/>
        <v>0</v>
      </c>
      <c r="AQ68">
        <f t="shared" si="41"/>
        <v>0</v>
      </c>
      <c r="AR68">
        <f t="shared" si="41"/>
        <v>0</v>
      </c>
      <c r="AS68">
        <f t="shared" si="41"/>
        <v>0</v>
      </c>
      <c r="AT68">
        <f t="shared" si="41"/>
        <v>0</v>
      </c>
      <c r="AU68">
        <f t="shared" si="41"/>
        <v>0</v>
      </c>
      <c r="AV68">
        <f t="shared" si="41"/>
        <v>0</v>
      </c>
      <c r="AW68">
        <f t="shared" si="41"/>
        <v>0</v>
      </c>
      <c r="AX68">
        <f t="shared" si="41"/>
        <v>0</v>
      </c>
    </row>
  </sheetData>
  <mergeCells count="15">
    <mergeCell ref="A5:M5"/>
    <mergeCell ref="A21:M21"/>
    <mergeCell ref="A37:M37"/>
    <mergeCell ref="A53:M53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  <mergeCell ref="K3:L3"/>
  </mergeCells>
  <phoneticPr fontId="1" type="noConversion"/>
  <conditionalFormatting sqref="A5 A6:M68">
    <cfRule type="containsText" dxfId="7" priority="1" stopIfTrue="1" operator="containsText" text=".">
      <formula>NOT(ISERROR(SEARCH(".",A5)))</formula>
    </cfRule>
    <cfRule type="notContainsText" dxfId="6" priority="2" stopIfTrue="1" operator="notContains" text=".">
      <formula>ISERROR(SEARCH(".",A5))</formula>
    </cfRule>
  </conditionalFormatting>
  <pageMargins left="0.7765515531031062" right="0" top="0.57970115940231881" bottom="0.1388888888888889" header="0.3" footer="0.1388888888888889"/>
  <pageSetup paperSize="9" orientation="landscape" verticalDpi="0" r:id="rId1"/>
  <rowBreaks count="4" manualBreakCount="4">
    <brk id="20" max="16383" man="1"/>
    <brk id="36" max="16383" man="1"/>
    <brk id="52" max="16383" man="1"/>
    <brk id="6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19D86"/>
  </sheetPr>
  <dimension ref="A1:R20"/>
  <sheetViews>
    <sheetView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N1"/>
    </sheetView>
  </sheetViews>
  <sheetFormatPr defaultRowHeight="16.5" x14ac:dyDescent="0.3"/>
  <cols>
    <col min="1" max="1" width="6.625" style="2" customWidth="1"/>
    <col min="2" max="3" width="20.625" style="1" customWidth="1"/>
    <col min="4" max="4" width="4.625" style="2" customWidth="1"/>
    <col min="5" max="5" width="6.625" style="2" customWidth="1"/>
    <col min="6" max="6" width="6.625" style="3" customWidth="1"/>
    <col min="7" max="7" width="7.625" style="3" customWidth="1"/>
    <col min="8" max="8" width="6.625" style="3" customWidth="1"/>
    <col min="9" max="9" width="7.625" style="3" customWidth="1"/>
    <col min="10" max="10" width="6.625" style="3" customWidth="1"/>
    <col min="11" max="11" width="7.625" style="3" customWidth="1"/>
    <col min="12" max="12" width="6.625" style="3" customWidth="1"/>
    <col min="13" max="13" width="7.625" style="3" customWidth="1"/>
    <col min="14" max="14" width="6.625" style="1" customWidth="1"/>
    <col min="15" max="18" width="0" hidden="1" customWidth="1"/>
  </cols>
  <sheetData>
    <row r="1" spans="1:18" ht="30" customHeight="1" x14ac:dyDescent="0.3">
      <c r="A1" s="46" t="s">
        <v>103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</row>
    <row r="2" spans="1:18" ht="23.1" customHeight="1" x14ac:dyDescent="0.3">
      <c r="A2" s="47" t="s">
        <v>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</row>
    <row r="3" spans="1:18" ht="23.1" customHeight="1" x14ac:dyDescent="0.3">
      <c r="A3" s="55" t="s">
        <v>104</v>
      </c>
      <c r="B3" s="55" t="s">
        <v>60</v>
      </c>
      <c r="C3" s="55" t="s">
        <v>61</v>
      </c>
      <c r="D3" s="55" t="s">
        <v>4</v>
      </c>
      <c r="E3" s="55" t="s">
        <v>105</v>
      </c>
      <c r="F3" s="55" t="s">
        <v>106</v>
      </c>
      <c r="G3" s="55"/>
      <c r="H3" s="55" t="s">
        <v>107</v>
      </c>
      <c r="I3" s="55"/>
      <c r="J3" s="55" t="s">
        <v>108</v>
      </c>
      <c r="K3" s="55"/>
      <c r="L3" s="55" t="s">
        <v>109</v>
      </c>
      <c r="M3" s="55"/>
      <c r="N3" s="55" t="s">
        <v>67</v>
      </c>
    </row>
    <row r="4" spans="1:18" ht="23.1" customHeight="1" x14ac:dyDescent="0.3">
      <c r="A4" s="55"/>
      <c r="B4" s="55"/>
      <c r="C4" s="55"/>
      <c r="D4" s="55"/>
      <c r="E4" s="55"/>
      <c r="F4" s="12" t="s">
        <v>68</v>
      </c>
      <c r="G4" s="12" t="s">
        <v>110</v>
      </c>
      <c r="H4" s="12" t="s">
        <v>68</v>
      </c>
      <c r="I4" s="12" t="s">
        <v>110</v>
      </c>
      <c r="J4" s="12" t="s">
        <v>68</v>
      </c>
      <c r="K4" s="12" t="s">
        <v>110</v>
      </c>
      <c r="L4" s="12" t="s">
        <v>68</v>
      </c>
      <c r="M4" s="12" t="s">
        <v>110</v>
      </c>
      <c r="N4" s="55"/>
      <c r="O4" t="s">
        <v>70</v>
      </c>
      <c r="P4" t="s">
        <v>71</v>
      </c>
      <c r="Q4" t="s">
        <v>72</v>
      </c>
      <c r="R4" t="s">
        <v>73</v>
      </c>
    </row>
    <row r="5" spans="1:18" ht="23.1" customHeight="1" x14ac:dyDescent="0.3">
      <c r="A5" s="15" t="s">
        <v>111</v>
      </c>
      <c r="B5" s="14" t="s">
        <v>112</v>
      </c>
      <c r="C5" s="14" t="s">
        <v>113</v>
      </c>
      <c r="D5" s="15" t="s">
        <v>28</v>
      </c>
      <c r="E5" s="22">
        <v>1</v>
      </c>
      <c r="F5" s="16">
        <f>일위대가표!F7</f>
        <v>0</v>
      </c>
      <c r="G5" s="16">
        <f t="shared" ref="G5:G11" si="0">E5*F5</f>
        <v>0</v>
      </c>
      <c r="H5" s="16">
        <f>일위대가표!H7</f>
        <v>7449</v>
      </c>
      <c r="I5" s="16">
        <f t="shared" ref="I5:I11" si="1">E5*H5</f>
        <v>7449</v>
      </c>
      <c r="J5" s="16">
        <f>일위대가표!J7</f>
        <v>0</v>
      </c>
      <c r="K5" s="16">
        <f t="shared" ref="K5:K11" si="2">E5*J5</f>
        <v>0</v>
      </c>
      <c r="L5" s="16">
        <f t="shared" ref="L5:M11" si="3">F5+H5+J5</f>
        <v>7449</v>
      </c>
      <c r="M5" s="16">
        <f t="shared" si="3"/>
        <v>7449</v>
      </c>
      <c r="N5" s="14" t="s">
        <v>77</v>
      </c>
    </row>
    <row r="6" spans="1:18" ht="23.1" customHeight="1" x14ac:dyDescent="0.3">
      <c r="A6" s="15" t="s">
        <v>114</v>
      </c>
      <c r="B6" s="14" t="s">
        <v>115</v>
      </c>
      <c r="C6" s="14" t="s">
        <v>116</v>
      </c>
      <c r="D6" s="15" t="s">
        <v>28</v>
      </c>
      <c r="E6" s="22">
        <v>1</v>
      </c>
      <c r="F6" s="16">
        <f>일위대가표!F15</f>
        <v>16779</v>
      </c>
      <c r="G6" s="16">
        <f t="shared" si="0"/>
        <v>16779</v>
      </c>
      <c r="H6" s="16">
        <f>일위대가표!H15</f>
        <v>35083</v>
      </c>
      <c r="I6" s="16">
        <f t="shared" si="1"/>
        <v>35083</v>
      </c>
      <c r="J6" s="16">
        <f>일위대가표!J15</f>
        <v>1052</v>
      </c>
      <c r="K6" s="16">
        <f t="shared" si="2"/>
        <v>1052</v>
      </c>
      <c r="L6" s="16">
        <f t="shared" si="3"/>
        <v>52914</v>
      </c>
      <c r="M6" s="16">
        <f t="shared" si="3"/>
        <v>52914</v>
      </c>
      <c r="N6" s="14" t="s">
        <v>82</v>
      </c>
    </row>
    <row r="7" spans="1:18" ht="23.1" customHeight="1" x14ac:dyDescent="0.3">
      <c r="A7" s="15" t="s">
        <v>117</v>
      </c>
      <c r="B7" s="14" t="s">
        <v>118</v>
      </c>
      <c r="C7" s="14" t="s">
        <v>119</v>
      </c>
      <c r="D7" s="15" t="s">
        <v>28</v>
      </c>
      <c r="E7" s="22">
        <v>1</v>
      </c>
      <c r="F7" s="16">
        <f>일위대가표!F22</f>
        <v>4819</v>
      </c>
      <c r="G7" s="16">
        <f t="shared" si="0"/>
        <v>4819</v>
      </c>
      <c r="H7" s="16">
        <f>일위대가표!H22</f>
        <v>17541</v>
      </c>
      <c r="I7" s="16">
        <f t="shared" si="1"/>
        <v>17541</v>
      </c>
      <c r="J7" s="16">
        <f>일위대가표!J22</f>
        <v>350</v>
      </c>
      <c r="K7" s="16">
        <f t="shared" si="2"/>
        <v>350</v>
      </c>
      <c r="L7" s="16">
        <f t="shared" si="3"/>
        <v>22710</v>
      </c>
      <c r="M7" s="16">
        <f t="shared" si="3"/>
        <v>22710</v>
      </c>
      <c r="N7" s="14" t="s">
        <v>92</v>
      </c>
    </row>
    <row r="8" spans="1:18" ht="23.1" customHeight="1" x14ac:dyDescent="0.3">
      <c r="A8" s="15" t="s">
        <v>120</v>
      </c>
      <c r="B8" s="14" t="s">
        <v>121</v>
      </c>
      <c r="C8" s="14" t="s">
        <v>122</v>
      </c>
      <c r="D8" s="15" t="s">
        <v>123</v>
      </c>
      <c r="E8" s="22">
        <v>1</v>
      </c>
      <c r="F8" s="16">
        <f>일위대가표!F25</f>
        <v>70</v>
      </c>
      <c r="G8" s="16">
        <f t="shared" si="0"/>
        <v>70</v>
      </c>
      <c r="H8" s="16">
        <f>일위대가표!H25</f>
        <v>7012</v>
      </c>
      <c r="I8" s="16">
        <f t="shared" si="1"/>
        <v>7012</v>
      </c>
      <c r="J8" s="16">
        <f>일위대가표!J25</f>
        <v>0</v>
      </c>
      <c r="K8" s="16">
        <f t="shared" si="2"/>
        <v>0</v>
      </c>
      <c r="L8" s="16">
        <f t="shared" si="3"/>
        <v>7082</v>
      </c>
      <c r="M8" s="16">
        <f t="shared" si="3"/>
        <v>7082</v>
      </c>
      <c r="N8" s="14" t="s">
        <v>94</v>
      </c>
    </row>
    <row r="9" spans="1:18" ht="23.1" customHeight="1" x14ac:dyDescent="0.3">
      <c r="A9" s="15" t="s">
        <v>124</v>
      </c>
      <c r="B9" s="14" t="s">
        <v>125</v>
      </c>
      <c r="C9" s="14" t="s">
        <v>126</v>
      </c>
      <c r="D9" s="15" t="s">
        <v>127</v>
      </c>
      <c r="E9" s="22">
        <v>1</v>
      </c>
      <c r="F9" s="16">
        <f>일위대가표!F28</f>
        <v>121</v>
      </c>
      <c r="G9" s="16">
        <f t="shared" si="0"/>
        <v>121</v>
      </c>
      <c r="H9" s="16">
        <f>일위대가표!H28</f>
        <v>2897</v>
      </c>
      <c r="I9" s="16">
        <f t="shared" si="1"/>
        <v>2897</v>
      </c>
      <c r="J9" s="16">
        <f>일위대가표!J28</f>
        <v>0</v>
      </c>
      <c r="K9" s="16">
        <f t="shared" si="2"/>
        <v>0</v>
      </c>
      <c r="L9" s="16">
        <f t="shared" si="3"/>
        <v>3018</v>
      </c>
      <c r="M9" s="16">
        <f t="shared" si="3"/>
        <v>3018</v>
      </c>
      <c r="N9" s="14" t="s">
        <v>96</v>
      </c>
    </row>
    <row r="10" spans="1:18" ht="23.1" customHeight="1" x14ac:dyDescent="0.3">
      <c r="A10" s="15" t="s">
        <v>128</v>
      </c>
      <c r="B10" s="14" t="s">
        <v>129</v>
      </c>
      <c r="C10" s="14" t="s">
        <v>130</v>
      </c>
      <c r="D10" s="15" t="s">
        <v>49</v>
      </c>
      <c r="E10" s="22">
        <v>1</v>
      </c>
      <c r="F10" s="16">
        <f>일위대가표!F35</f>
        <v>2508</v>
      </c>
      <c r="G10" s="16">
        <f t="shared" si="0"/>
        <v>2508</v>
      </c>
      <c r="H10" s="16">
        <f>일위대가표!H35</f>
        <v>8523</v>
      </c>
      <c r="I10" s="16">
        <f t="shared" si="1"/>
        <v>8523</v>
      </c>
      <c r="J10" s="16">
        <f>일위대가표!J35</f>
        <v>340</v>
      </c>
      <c r="K10" s="16">
        <f t="shared" si="2"/>
        <v>340</v>
      </c>
      <c r="L10" s="16">
        <f t="shared" si="3"/>
        <v>11371</v>
      </c>
      <c r="M10" s="16">
        <f t="shared" si="3"/>
        <v>11371</v>
      </c>
      <c r="N10" s="14" t="s">
        <v>98</v>
      </c>
    </row>
    <row r="11" spans="1:18" ht="23.1" customHeight="1" x14ac:dyDescent="0.3">
      <c r="A11" s="15" t="s">
        <v>131</v>
      </c>
      <c r="B11" s="14" t="s">
        <v>132</v>
      </c>
      <c r="C11" s="14" t="s">
        <v>133</v>
      </c>
      <c r="D11" s="15" t="s">
        <v>134</v>
      </c>
      <c r="E11" s="22">
        <v>1</v>
      </c>
      <c r="F11" s="16">
        <f>일위대가표!F41</f>
        <v>3105</v>
      </c>
      <c r="G11" s="16">
        <f t="shared" si="0"/>
        <v>3105</v>
      </c>
      <c r="H11" s="16">
        <f>일위대가표!H41</f>
        <v>103507</v>
      </c>
      <c r="I11" s="16">
        <f t="shared" si="1"/>
        <v>103507</v>
      </c>
      <c r="J11" s="16">
        <f>일위대가표!J41</f>
        <v>0</v>
      </c>
      <c r="K11" s="16">
        <f t="shared" si="2"/>
        <v>0</v>
      </c>
      <c r="L11" s="16">
        <f t="shared" si="3"/>
        <v>106612</v>
      </c>
      <c r="M11" s="16">
        <f t="shared" si="3"/>
        <v>106612</v>
      </c>
      <c r="N11" s="14" t="s">
        <v>100</v>
      </c>
    </row>
    <row r="12" spans="1:18" ht="23.1" customHeight="1" x14ac:dyDescent="0.3">
      <c r="A12" s="22"/>
      <c r="B12" s="17"/>
      <c r="C12" s="17"/>
      <c r="D12" s="22"/>
      <c r="E12" s="22"/>
      <c r="F12" s="16"/>
      <c r="G12" s="16"/>
      <c r="H12" s="16"/>
      <c r="I12" s="16"/>
      <c r="J12" s="16"/>
      <c r="K12" s="16"/>
      <c r="L12" s="16"/>
      <c r="M12" s="16"/>
      <c r="N12" s="17"/>
    </row>
    <row r="13" spans="1:18" ht="23.1" customHeight="1" x14ac:dyDescent="0.3">
      <c r="A13" s="22"/>
      <c r="B13" s="17"/>
      <c r="C13" s="17"/>
      <c r="D13" s="22"/>
      <c r="E13" s="22"/>
      <c r="F13" s="16"/>
      <c r="G13" s="16"/>
      <c r="H13" s="16"/>
      <c r="I13" s="16"/>
      <c r="J13" s="16"/>
      <c r="K13" s="16"/>
      <c r="L13" s="16"/>
      <c r="M13" s="16"/>
      <c r="N13" s="17"/>
    </row>
    <row r="14" spans="1:18" ht="23.1" customHeight="1" x14ac:dyDescent="0.3">
      <c r="A14" s="22"/>
      <c r="B14" s="17"/>
      <c r="C14" s="17"/>
      <c r="D14" s="22"/>
      <c r="E14" s="22"/>
      <c r="F14" s="16"/>
      <c r="G14" s="16"/>
      <c r="H14" s="16"/>
      <c r="I14" s="16"/>
      <c r="J14" s="16"/>
      <c r="K14" s="16"/>
      <c r="L14" s="16"/>
      <c r="M14" s="16"/>
      <c r="N14" s="17"/>
    </row>
    <row r="15" spans="1:18" ht="23.1" customHeight="1" x14ac:dyDescent="0.3">
      <c r="A15" s="22"/>
      <c r="B15" s="17"/>
      <c r="C15" s="17"/>
      <c r="D15" s="22"/>
      <c r="E15" s="22"/>
      <c r="F15" s="16"/>
      <c r="G15" s="16"/>
      <c r="H15" s="16"/>
      <c r="I15" s="16"/>
      <c r="J15" s="16"/>
      <c r="K15" s="16"/>
      <c r="L15" s="16"/>
      <c r="M15" s="16"/>
      <c r="N15" s="17"/>
    </row>
    <row r="16" spans="1:18" ht="23.1" customHeight="1" x14ac:dyDescent="0.3">
      <c r="A16" s="22"/>
      <c r="B16" s="17"/>
      <c r="C16" s="17"/>
      <c r="D16" s="22"/>
      <c r="E16" s="22"/>
      <c r="F16" s="16"/>
      <c r="G16" s="16"/>
      <c r="H16" s="16"/>
      <c r="I16" s="16"/>
      <c r="J16" s="16"/>
      <c r="K16" s="16"/>
      <c r="L16" s="16"/>
      <c r="M16" s="16"/>
      <c r="N16" s="17"/>
    </row>
    <row r="17" spans="1:14" ht="23.1" customHeight="1" x14ac:dyDescent="0.3">
      <c r="A17" s="22"/>
      <c r="B17" s="17"/>
      <c r="C17" s="17"/>
      <c r="D17" s="22"/>
      <c r="E17" s="22"/>
      <c r="F17" s="16"/>
      <c r="G17" s="16"/>
      <c r="H17" s="16"/>
      <c r="I17" s="16"/>
      <c r="J17" s="16"/>
      <c r="K17" s="16"/>
      <c r="L17" s="16"/>
      <c r="M17" s="16"/>
      <c r="N17" s="17"/>
    </row>
    <row r="18" spans="1:14" ht="23.1" customHeight="1" x14ac:dyDescent="0.3">
      <c r="A18" s="22"/>
      <c r="B18" s="17"/>
      <c r="C18" s="17"/>
      <c r="D18" s="22"/>
      <c r="E18" s="22"/>
      <c r="F18" s="16"/>
      <c r="G18" s="16"/>
      <c r="H18" s="16"/>
      <c r="I18" s="16"/>
      <c r="J18" s="16"/>
      <c r="K18" s="16"/>
      <c r="L18" s="16"/>
      <c r="M18" s="16"/>
      <c r="N18" s="17"/>
    </row>
    <row r="19" spans="1:14" ht="23.1" customHeight="1" x14ac:dyDescent="0.3">
      <c r="A19" s="22"/>
      <c r="B19" s="17"/>
      <c r="C19" s="17"/>
      <c r="D19" s="22"/>
      <c r="E19" s="22"/>
      <c r="F19" s="16"/>
      <c r="G19" s="16"/>
      <c r="H19" s="16"/>
      <c r="I19" s="16"/>
      <c r="J19" s="16"/>
      <c r="K19" s="16"/>
      <c r="L19" s="16"/>
      <c r="M19" s="16"/>
      <c r="N19" s="17"/>
    </row>
    <row r="20" spans="1:14" ht="23.1" customHeight="1" x14ac:dyDescent="0.3">
      <c r="A20" s="22"/>
      <c r="B20" s="17"/>
      <c r="C20" s="17"/>
      <c r="D20" s="22"/>
      <c r="E20" s="22"/>
      <c r="F20" s="16"/>
      <c r="G20" s="16"/>
      <c r="H20" s="16"/>
      <c r="I20" s="16"/>
      <c r="J20" s="16"/>
      <c r="K20" s="16"/>
      <c r="L20" s="16"/>
      <c r="M20" s="16"/>
      <c r="N20" s="17"/>
    </row>
  </sheetData>
  <mergeCells count="12">
    <mergeCell ref="J3:K3"/>
    <mergeCell ref="L3:M3"/>
    <mergeCell ref="A1:N1"/>
    <mergeCell ref="A2:N2"/>
    <mergeCell ref="A3:A4"/>
    <mergeCell ref="B3:B4"/>
    <mergeCell ref="C3:C4"/>
    <mergeCell ref="D3:D4"/>
    <mergeCell ref="E3:E4"/>
    <mergeCell ref="N3:N4"/>
    <mergeCell ref="F3:G3"/>
    <mergeCell ref="H3:I3"/>
  </mergeCells>
  <phoneticPr fontId="1" type="noConversion"/>
  <conditionalFormatting sqref="A5:N20">
    <cfRule type="containsText" dxfId="5" priority="1" stopIfTrue="1" operator="containsText" text=".">
      <formula>NOT(ISERROR(SEARCH(".",A5)))</formula>
    </cfRule>
    <cfRule type="notContainsText" dxfId="4" priority="2" stopIfTrue="1" operator="notContains" text=".">
      <formula>ISERROR(SEARCH(".",A5))</formula>
    </cfRule>
  </conditionalFormatting>
  <pageMargins left="0.7765515531031062" right="0" top="0.57970115940231881" bottom="0.1388888888888889" header="0.3" footer="0.1388888888888889"/>
  <pageSetup paperSize="9" orientation="landscape" verticalDpi="0" r:id="rId1"/>
  <rowBreaks count="1" manualBreakCount="1">
    <brk id="2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B7"/>
  </sheetPr>
  <dimension ref="A1:S52"/>
  <sheetViews>
    <sheetView workbookViewId="0">
      <pane xSplit="4" ySplit="4" topLeftCell="E20" activePane="bottomRight" state="frozen"/>
      <selection pane="topRight" activeCell="E1" sqref="E1"/>
      <selection pane="bottomLeft" activeCell="A5" sqref="A5"/>
      <selection pane="bottomRight" activeCell="F42" sqref="F42"/>
    </sheetView>
  </sheetViews>
  <sheetFormatPr defaultRowHeight="16.5" x14ac:dyDescent="0.3"/>
  <cols>
    <col min="1" max="2" width="20.625" style="1" customWidth="1"/>
    <col min="3" max="3" width="4.625" style="2" customWidth="1"/>
    <col min="4" max="5" width="6.625" style="3" customWidth="1"/>
    <col min="6" max="6" width="9.625" style="3" customWidth="1"/>
    <col min="7" max="7" width="6.625" style="3" customWidth="1"/>
    <col min="8" max="8" width="9.625" style="3" customWidth="1"/>
    <col min="9" max="9" width="6.625" style="3" customWidth="1"/>
    <col min="10" max="10" width="9.625" style="3" customWidth="1"/>
    <col min="11" max="11" width="6.625" style="3" customWidth="1"/>
    <col min="12" max="12" width="9.625" style="3" customWidth="1"/>
    <col min="13" max="13" width="8.625" style="1" customWidth="1"/>
    <col min="14" max="19" width="0" hidden="1" customWidth="1"/>
  </cols>
  <sheetData>
    <row r="1" spans="1:19" ht="30" customHeight="1" x14ac:dyDescent="0.3">
      <c r="A1" s="46" t="s">
        <v>59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</row>
    <row r="2" spans="1:19" ht="23.1" customHeight="1" x14ac:dyDescent="0.3">
      <c r="A2" s="47" t="s">
        <v>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3" spans="1:19" ht="23.1" customHeight="1" x14ac:dyDescent="0.3">
      <c r="A3" s="55" t="s">
        <v>60</v>
      </c>
      <c r="B3" s="55" t="s">
        <v>61</v>
      </c>
      <c r="C3" s="55" t="s">
        <v>4</v>
      </c>
      <c r="D3" s="55" t="s">
        <v>62</v>
      </c>
      <c r="E3" s="55" t="s">
        <v>63</v>
      </c>
      <c r="F3" s="55"/>
      <c r="G3" s="55" t="s">
        <v>64</v>
      </c>
      <c r="H3" s="55"/>
      <c r="I3" s="55" t="s">
        <v>65</v>
      </c>
      <c r="J3" s="55"/>
      <c r="K3" s="55" t="s">
        <v>66</v>
      </c>
      <c r="L3" s="55"/>
      <c r="M3" s="55" t="s">
        <v>67</v>
      </c>
    </row>
    <row r="4" spans="1:19" ht="23.1" customHeight="1" x14ac:dyDescent="0.3">
      <c r="A4" s="55"/>
      <c r="B4" s="55"/>
      <c r="C4" s="55"/>
      <c r="D4" s="55"/>
      <c r="E4" s="12" t="s">
        <v>68</v>
      </c>
      <c r="F4" s="12" t="s">
        <v>69</v>
      </c>
      <c r="G4" s="12" t="s">
        <v>68</v>
      </c>
      <c r="H4" s="12" t="s">
        <v>69</v>
      </c>
      <c r="I4" s="12" t="s">
        <v>68</v>
      </c>
      <c r="J4" s="12" t="s">
        <v>69</v>
      </c>
      <c r="K4" s="12" t="s">
        <v>68</v>
      </c>
      <c r="L4" s="12" t="s">
        <v>69</v>
      </c>
      <c r="M4" s="55"/>
      <c r="N4" t="s">
        <v>70</v>
      </c>
      <c r="O4" t="s">
        <v>71</v>
      </c>
      <c r="P4" t="s">
        <v>72</v>
      </c>
      <c r="Q4" t="s">
        <v>73</v>
      </c>
      <c r="R4" t="s">
        <v>74</v>
      </c>
      <c r="S4" t="s">
        <v>75</v>
      </c>
    </row>
    <row r="5" spans="1:19" ht="23.1" customHeight="1" x14ac:dyDescent="0.3">
      <c r="A5" s="68" t="s">
        <v>76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70"/>
      <c r="M5" s="13" t="s">
        <v>77</v>
      </c>
    </row>
    <row r="6" spans="1:19" ht="23.1" customHeight="1" x14ac:dyDescent="0.3">
      <c r="A6" s="14" t="s">
        <v>55</v>
      </c>
      <c r="B6" s="14" t="s">
        <v>52</v>
      </c>
      <c r="C6" s="15" t="s">
        <v>53</v>
      </c>
      <c r="D6" s="16">
        <v>4.4999999999999998E-2</v>
      </c>
      <c r="E6" s="16">
        <v>0</v>
      </c>
      <c r="F6" s="16">
        <f>ROUNDDOWN(D6*E6, 1)</f>
        <v>0</v>
      </c>
      <c r="G6" s="16">
        <f>ROUNDDOWN(단가대비표!O14, 0)</f>
        <v>165545</v>
      </c>
      <c r="H6" s="16">
        <f>ROUNDDOWN(D6*G6, 1)</f>
        <v>7449.5</v>
      </c>
      <c r="I6" s="16">
        <v>0</v>
      </c>
      <c r="J6" s="16">
        <f>ROUNDDOWN(D6*I6, 1)</f>
        <v>0</v>
      </c>
      <c r="K6" s="16">
        <f>E6+G6+I6</f>
        <v>165545</v>
      </c>
      <c r="L6" s="16">
        <f>F6+H6+J6</f>
        <v>7449.5</v>
      </c>
      <c r="M6" s="17"/>
      <c r="O6" s="11" t="s">
        <v>78</v>
      </c>
      <c r="P6" s="11" t="s">
        <v>79</v>
      </c>
      <c r="Q6">
        <v>1</v>
      </c>
    </row>
    <row r="7" spans="1:19" ht="23.1" customHeight="1" x14ac:dyDescent="0.3">
      <c r="A7" s="18" t="s">
        <v>80</v>
      </c>
      <c r="B7" s="19"/>
      <c r="C7" s="20"/>
      <c r="D7" s="21"/>
      <c r="E7" s="21"/>
      <c r="F7" s="21">
        <f>ROUNDDOWN(SUMIF(Q6:Q6, "1", F6:F6), 0)</f>
        <v>0</v>
      </c>
      <c r="G7" s="21"/>
      <c r="H7" s="21">
        <f>ROUNDDOWN(SUMIF(Q6:Q6, "1", H6:H6), 0)</f>
        <v>7449</v>
      </c>
      <c r="I7" s="21"/>
      <c r="J7" s="21">
        <f>ROUNDDOWN(SUMIF(Q6:Q6, "1", J6:J6), 0)</f>
        <v>0</v>
      </c>
      <c r="K7" s="21"/>
      <c r="L7" s="21">
        <f>F7+H7+J7</f>
        <v>7449</v>
      </c>
      <c r="M7" s="19"/>
    </row>
    <row r="8" spans="1:19" ht="23.1" customHeight="1" x14ac:dyDescent="0.3">
      <c r="A8" s="17"/>
      <c r="B8" s="17"/>
      <c r="C8" s="22"/>
      <c r="D8" s="16"/>
      <c r="E8" s="16"/>
      <c r="F8" s="16"/>
      <c r="G8" s="16"/>
      <c r="H8" s="16"/>
      <c r="I8" s="16"/>
      <c r="J8" s="16"/>
      <c r="K8" s="16"/>
      <c r="L8" s="16"/>
      <c r="M8" s="17"/>
    </row>
    <row r="9" spans="1:19" ht="23.1" customHeight="1" x14ac:dyDescent="0.3">
      <c r="A9" s="66" t="s">
        <v>81</v>
      </c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13" t="s">
        <v>82</v>
      </c>
    </row>
    <row r="10" spans="1:19" ht="23.1" customHeight="1" x14ac:dyDescent="0.3">
      <c r="A10" s="14" t="s">
        <v>16</v>
      </c>
      <c r="B10" s="14" t="s">
        <v>17</v>
      </c>
      <c r="C10" s="15" t="s">
        <v>18</v>
      </c>
      <c r="D10" s="16">
        <v>9.09</v>
      </c>
      <c r="E10" s="16">
        <f>ROUNDDOWN(단가대비표!O5, 0)</f>
        <v>1758</v>
      </c>
      <c r="F10" s="16">
        <f>ROUNDDOWN(D10*E10, 1)</f>
        <v>15980.2</v>
      </c>
      <c r="G10" s="16">
        <v>0</v>
      </c>
      <c r="H10" s="16">
        <f>ROUNDDOWN(D10*G10, 1)</f>
        <v>0</v>
      </c>
      <c r="I10" s="16">
        <v>0</v>
      </c>
      <c r="J10" s="16">
        <f>ROUNDDOWN(D10*I10, 1)</f>
        <v>0</v>
      </c>
      <c r="K10" s="16">
        <f t="shared" ref="K10:L14" si="0">E10+G10+I10</f>
        <v>1758</v>
      </c>
      <c r="L10" s="16">
        <f t="shared" si="0"/>
        <v>15980.2</v>
      </c>
      <c r="M10" s="17"/>
      <c r="O10" s="11" t="s">
        <v>83</v>
      </c>
      <c r="P10" s="11" t="s">
        <v>79</v>
      </c>
      <c r="Q10">
        <v>1</v>
      </c>
    </row>
    <row r="11" spans="1:19" ht="23.1" customHeight="1" x14ac:dyDescent="0.3">
      <c r="A11" s="14" t="s">
        <v>84</v>
      </c>
      <c r="B11" s="17" t="str">
        <f>"주재료비의 " &amp; N11*100 &amp; "%"</f>
        <v>주재료비의 5%</v>
      </c>
      <c r="C11" s="15" t="s">
        <v>85</v>
      </c>
      <c r="D11" s="16">
        <v>1</v>
      </c>
      <c r="E11" s="16">
        <f>SUMIF(O10:O14, "01", F10:F14)</f>
        <v>15980.2</v>
      </c>
      <c r="F11" s="16">
        <f>ROUNDDOWN((E11)*N11, 1)</f>
        <v>799</v>
      </c>
      <c r="G11" s="16">
        <v>0</v>
      </c>
      <c r="H11" s="16">
        <v>0</v>
      </c>
      <c r="I11" s="16">
        <v>0</v>
      </c>
      <c r="J11" s="16">
        <v>0</v>
      </c>
      <c r="K11" s="16">
        <f t="shared" si="0"/>
        <v>15980.2</v>
      </c>
      <c r="L11" s="16">
        <f t="shared" si="0"/>
        <v>799</v>
      </c>
      <c r="M11" s="17"/>
      <c r="N11">
        <v>0.05</v>
      </c>
      <c r="P11" s="11" t="s">
        <v>79</v>
      </c>
      <c r="Q11">
        <v>1</v>
      </c>
      <c r="R11" s="11" t="s">
        <v>86</v>
      </c>
      <c r="S11" s="11" t="s">
        <v>87</v>
      </c>
    </row>
    <row r="12" spans="1:19" ht="23.1" customHeight="1" x14ac:dyDescent="0.3">
      <c r="A12" s="14" t="s">
        <v>51</v>
      </c>
      <c r="B12" s="14" t="s">
        <v>52</v>
      </c>
      <c r="C12" s="15" t="s">
        <v>53</v>
      </c>
      <c r="D12" s="16">
        <v>0.1</v>
      </c>
      <c r="E12" s="16">
        <v>0</v>
      </c>
      <c r="F12" s="16">
        <f>ROUNDDOWN(D12*E12, 1)</f>
        <v>0</v>
      </c>
      <c r="G12" s="16">
        <f>ROUNDDOWN(단가대비표!O12, 0)</f>
        <v>268058</v>
      </c>
      <c r="H12" s="16">
        <f>ROUNDDOWN(D12*G12, 1)</f>
        <v>26805.8</v>
      </c>
      <c r="I12" s="16">
        <v>0</v>
      </c>
      <c r="J12" s="16">
        <f>ROUNDDOWN(D12*I12, 1)</f>
        <v>0</v>
      </c>
      <c r="K12" s="16">
        <f t="shared" si="0"/>
        <v>268058</v>
      </c>
      <c r="L12" s="16">
        <f t="shared" si="0"/>
        <v>26805.8</v>
      </c>
      <c r="M12" s="17"/>
      <c r="O12" s="11" t="s">
        <v>78</v>
      </c>
      <c r="P12" s="11" t="s">
        <v>79</v>
      </c>
      <c r="Q12">
        <v>1</v>
      </c>
    </row>
    <row r="13" spans="1:19" ht="23.1" customHeight="1" x14ac:dyDescent="0.3">
      <c r="A13" s="14" t="s">
        <v>55</v>
      </c>
      <c r="B13" s="14" t="s">
        <v>52</v>
      </c>
      <c r="C13" s="15" t="s">
        <v>53</v>
      </c>
      <c r="D13" s="16">
        <v>0.05</v>
      </c>
      <c r="E13" s="16">
        <v>0</v>
      </c>
      <c r="F13" s="16">
        <f>ROUNDDOWN(D13*E13, 1)</f>
        <v>0</v>
      </c>
      <c r="G13" s="16">
        <f>ROUNDDOWN(단가대비표!O14, 0)</f>
        <v>165545</v>
      </c>
      <c r="H13" s="16">
        <f>ROUNDDOWN(D13*G13, 1)</f>
        <v>8277.2000000000007</v>
      </c>
      <c r="I13" s="16">
        <v>0</v>
      </c>
      <c r="J13" s="16">
        <f>ROUNDDOWN(D13*I13, 1)</f>
        <v>0</v>
      </c>
      <c r="K13" s="16">
        <f t="shared" si="0"/>
        <v>165545</v>
      </c>
      <c r="L13" s="16">
        <f t="shared" si="0"/>
        <v>8277.2000000000007</v>
      </c>
      <c r="M13" s="17"/>
      <c r="O13" s="11" t="s">
        <v>78</v>
      </c>
      <c r="P13" s="11" t="s">
        <v>79</v>
      </c>
      <c r="Q13">
        <v>1</v>
      </c>
    </row>
    <row r="14" spans="1:19" ht="23.1" customHeight="1" x14ac:dyDescent="0.3">
      <c r="A14" s="14" t="s">
        <v>88</v>
      </c>
      <c r="B14" s="17" t="str">
        <f>"인력품의 " &amp; N14*100 &amp; "%"</f>
        <v>인력품의 3%</v>
      </c>
      <c r="C14" s="15" t="s">
        <v>85</v>
      </c>
      <c r="D14" s="16">
        <v>1</v>
      </c>
      <c r="E14" s="16">
        <v>0</v>
      </c>
      <c r="F14" s="16">
        <v>0</v>
      </c>
      <c r="G14" s="16">
        <v>0</v>
      </c>
      <c r="H14" s="16">
        <v>0</v>
      </c>
      <c r="I14" s="16">
        <f>SUMIF(O10:O14, "02", H10:H14)</f>
        <v>35083</v>
      </c>
      <c r="J14" s="16">
        <f>ROUNDDOWN((I14)*N14, 1)</f>
        <v>1052.4000000000001</v>
      </c>
      <c r="K14" s="16">
        <f t="shared" si="0"/>
        <v>35083</v>
      </c>
      <c r="L14" s="16">
        <f t="shared" si="0"/>
        <v>1052.4000000000001</v>
      </c>
      <c r="M14" s="17"/>
      <c r="N14">
        <v>0.03</v>
      </c>
      <c r="P14" s="11" t="s">
        <v>79</v>
      </c>
      <c r="Q14">
        <v>1</v>
      </c>
      <c r="R14" s="11" t="s">
        <v>89</v>
      </c>
      <c r="S14" s="11" t="s">
        <v>90</v>
      </c>
    </row>
    <row r="15" spans="1:19" ht="23.1" customHeight="1" x14ac:dyDescent="0.3">
      <c r="A15" s="18" t="s">
        <v>80</v>
      </c>
      <c r="B15" s="19"/>
      <c r="C15" s="20"/>
      <c r="D15" s="21"/>
      <c r="E15" s="21"/>
      <c r="F15" s="21">
        <f>ROUNDDOWN(SUMIF(Q10:Q14, "1", F10:F14), 0)</f>
        <v>16779</v>
      </c>
      <c r="G15" s="21"/>
      <c r="H15" s="21">
        <f>ROUNDDOWN(SUMIF(Q10:Q14, "1", H10:H14), 0)</f>
        <v>35083</v>
      </c>
      <c r="I15" s="21"/>
      <c r="J15" s="21">
        <f>ROUNDDOWN(SUMIF(Q10:Q14, "1", J10:J14), 0)</f>
        <v>1052</v>
      </c>
      <c r="K15" s="21"/>
      <c r="L15" s="21">
        <f>F15+H15+J15</f>
        <v>52914</v>
      </c>
      <c r="M15" s="19"/>
    </row>
    <row r="16" spans="1:19" ht="23.1" customHeight="1" x14ac:dyDescent="0.3">
      <c r="A16" s="17"/>
      <c r="B16" s="17"/>
      <c r="C16" s="22"/>
      <c r="D16" s="16"/>
      <c r="E16" s="16"/>
      <c r="F16" s="16"/>
      <c r="G16" s="16"/>
      <c r="H16" s="16"/>
      <c r="I16" s="16"/>
      <c r="J16" s="16"/>
      <c r="K16" s="16"/>
      <c r="L16" s="16"/>
      <c r="M16" s="17"/>
    </row>
    <row r="17" spans="1:19" ht="23.1" customHeight="1" x14ac:dyDescent="0.3">
      <c r="A17" s="66" t="s">
        <v>91</v>
      </c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13" t="s">
        <v>92</v>
      </c>
    </row>
    <row r="18" spans="1:19" ht="23.1" customHeight="1" x14ac:dyDescent="0.3">
      <c r="A18" s="14" t="s">
        <v>41</v>
      </c>
      <c r="B18" s="14" t="s">
        <v>42</v>
      </c>
      <c r="C18" s="15" t="s">
        <v>43</v>
      </c>
      <c r="D18" s="16">
        <v>1.03</v>
      </c>
      <c r="E18" s="16">
        <f>ROUNDDOWN(단가대비표!O10, 0)</f>
        <v>4679</v>
      </c>
      <c r="F18" s="16">
        <f>ROUNDDOWN(D18*E18, 1)</f>
        <v>4819.3</v>
      </c>
      <c r="G18" s="16">
        <v>0</v>
      </c>
      <c r="H18" s="16">
        <f>ROUNDDOWN(D18*G18, 1)</f>
        <v>0</v>
      </c>
      <c r="I18" s="16">
        <v>0</v>
      </c>
      <c r="J18" s="16">
        <f>ROUNDDOWN(D18*I18, 1)</f>
        <v>0</v>
      </c>
      <c r="K18" s="16">
        <f t="shared" ref="K18:L21" si="1">E18+G18+I18</f>
        <v>4679</v>
      </c>
      <c r="L18" s="16">
        <f t="shared" si="1"/>
        <v>4819.3</v>
      </c>
      <c r="M18" s="17"/>
      <c r="O18" s="11" t="s">
        <v>83</v>
      </c>
      <c r="P18" s="11" t="s">
        <v>79</v>
      </c>
      <c r="Q18">
        <v>1</v>
      </c>
    </row>
    <row r="19" spans="1:19" ht="23.1" customHeight="1" x14ac:dyDescent="0.3">
      <c r="A19" s="14" t="s">
        <v>51</v>
      </c>
      <c r="B19" s="14" t="s">
        <v>52</v>
      </c>
      <c r="C19" s="15" t="s">
        <v>53</v>
      </c>
      <c r="D19" s="16">
        <v>0.05</v>
      </c>
      <c r="E19" s="16">
        <v>0</v>
      </c>
      <c r="F19" s="16">
        <f>ROUNDDOWN(D19*E19, 1)</f>
        <v>0</v>
      </c>
      <c r="G19" s="16">
        <f>ROUNDDOWN(단가대비표!O12, 0)</f>
        <v>268058</v>
      </c>
      <c r="H19" s="16">
        <f>ROUNDDOWN(D19*G19, 1)</f>
        <v>13402.9</v>
      </c>
      <c r="I19" s="16">
        <v>0</v>
      </c>
      <c r="J19" s="16">
        <f>ROUNDDOWN(D19*I19, 1)</f>
        <v>0</v>
      </c>
      <c r="K19" s="16">
        <f t="shared" si="1"/>
        <v>268058</v>
      </c>
      <c r="L19" s="16">
        <f t="shared" si="1"/>
        <v>13402.9</v>
      </c>
      <c r="M19" s="17"/>
      <c r="O19" s="11" t="s">
        <v>78</v>
      </c>
      <c r="P19" s="11" t="s">
        <v>79</v>
      </c>
      <c r="Q19">
        <v>1</v>
      </c>
    </row>
    <row r="20" spans="1:19" ht="23.1" customHeight="1" x14ac:dyDescent="0.3">
      <c r="A20" s="14" t="s">
        <v>55</v>
      </c>
      <c r="B20" s="14" t="s">
        <v>52</v>
      </c>
      <c r="C20" s="15" t="s">
        <v>53</v>
      </c>
      <c r="D20" s="16">
        <v>2.5000000000000001E-2</v>
      </c>
      <c r="E20" s="16">
        <v>0</v>
      </c>
      <c r="F20" s="16">
        <f>ROUNDDOWN(D20*E20, 1)</f>
        <v>0</v>
      </c>
      <c r="G20" s="16">
        <f>ROUNDDOWN(단가대비표!O14, 0)</f>
        <v>165545</v>
      </c>
      <c r="H20" s="16">
        <f>ROUNDDOWN(D20*G20, 1)</f>
        <v>4138.6000000000004</v>
      </c>
      <c r="I20" s="16">
        <v>0</v>
      </c>
      <c r="J20" s="16">
        <f>ROUNDDOWN(D20*I20, 1)</f>
        <v>0</v>
      </c>
      <c r="K20" s="16">
        <f t="shared" si="1"/>
        <v>165545</v>
      </c>
      <c r="L20" s="16">
        <f t="shared" si="1"/>
        <v>4138.6000000000004</v>
      </c>
      <c r="M20" s="17"/>
      <c r="O20" s="11" t="s">
        <v>78</v>
      </c>
      <c r="P20" s="11" t="s">
        <v>79</v>
      </c>
      <c r="Q20">
        <v>1</v>
      </c>
    </row>
    <row r="21" spans="1:19" ht="23.1" customHeight="1" x14ac:dyDescent="0.3">
      <c r="A21" s="14" t="s">
        <v>88</v>
      </c>
      <c r="B21" s="17" t="str">
        <f>"인력품의 " &amp; N21*100 &amp; "%"</f>
        <v>인력품의 2%</v>
      </c>
      <c r="C21" s="15" t="s">
        <v>85</v>
      </c>
      <c r="D21" s="16">
        <v>1</v>
      </c>
      <c r="E21" s="16">
        <v>0</v>
      </c>
      <c r="F21" s="16">
        <v>0</v>
      </c>
      <c r="G21" s="16">
        <v>0</v>
      </c>
      <c r="H21" s="16">
        <v>0</v>
      </c>
      <c r="I21" s="16">
        <f>SUMIF(O18:O21, "02", H18:H21)</f>
        <v>17541.5</v>
      </c>
      <c r="J21" s="16">
        <f>ROUNDDOWN((I21)*N21, 1)</f>
        <v>350.8</v>
      </c>
      <c r="K21" s="16">
        <f t="shared" si="1"/>
        <v>17541.5</v>
      </c>
      <c r="L21" s="16">
        <f t="shared" si="1"/>
        <v>350.8</v>
      </c>
      <c r="M21" s="17"/>
      <c r="N21">
        <v>0.02</v>
      </c>
      <c r="P21" s="11" t="s">
        <v>79</v>
      </c>
      <c r="Q21">
        <v>1</v>
      </c>
      <c r="R21" s="11" t="s">
        <v>89</v>
      </c>
      <c r="S21" s="11" t="s">
        <v>90</v>
      </c>
    </row>
    <row r="22" spans="1:19" ht="23.1" customHeight="1" x14ac:dyDescent="0.3">
      <c r="A22" s="18" t="s">
        <v>80</v>
      </c>
      <c r="B22" s="19"/>
      <c r="C22" s="20"/>
      <c r="D22" s="21"/>
      <c r="E22" s="21"/>
      <c r="F22" s="21">
        <f>ROUNDDOWN(SUMIF(Q18:Q21, "1", F18:F21), 0)</f>
        <v>4819</v>
      </c>
      <c r="G22" s="21"/>
      <c r="H22" s="21">
        <f>ROUNDDOWN(SUMIF(Q18:Q21, "1", H18:H21), 0)</f>
        <v>17541</v>
      </c>
      <c r="I22" s="21"/>
      <c r="J22" s="21">
        <f>ROUNDDOWN(SUMIF(Q18:Q21, "1", J18:J21), 0)</f>
        <v>350</v>
      </c>
      <c r="K22" s="21"/>
      <c r="L22" s="21">
        <f>F22+H22+J22</f>
        <v>22710</v>
      </c>
      <c r="M22" s="19"/>
    </row>
    <row r="23" spans="1:19" ht="23.1" customHeight="1" x14ac:dyDescent="0.3">
      <c r="A23" s="17"/>
      <c r="B23" s="17"/>
      <c r="C23" s="22"/>
      <c r="D23" s="16"/>
      <c r="E23" s="16"/>
      <c r="F23" s="16"/>
      <c r="G23" s="16"/>
      <c r="H23" s="16"/>
      <c r="I23" s="16"/>
      <c r="J23" s="16"/>
      <c r="K23" s="16"/>
      <c r="L23" s="16"/>
      <c r="M23" s="17"/>
    </row>
    <row r="24" spans="1:19" ht="23.1" customHeight="1" x14ac:dyDescent="0.3">
      <c r="A24" s="66" t="s">
        <v>93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13" t="s">
        <v>94</v>
      </c>
    </row>
    <row r="25" spans="1:19" ht="23.1" customHeight="1" x14ac:dyDescent="0.3">
      <c r="A25" s="18" t="s">
        <v>80</v>
      </c>
      <c r="B25" s="19"/>
      <c r="C25" s="20"/>
      <c r="D25" s="21"/>
      <c r="E25" s="21"/>
      <c r="F25" s="21">
        <v>70</v>
      </c>
      <c r="G25" s="21"/>
      <c r="H25" s="21">
        <v>7012</v>
      </c>
      <c r="I25" s="21"/>
      <c r="J25" s="21">
        <v>0</v>
      </c>
      <c r="K25" s="21"/>
      <c r="L25" s="21">
        <v>7082</v>
      </c>
      <c r="M25" s="19"/>
    </row>
    <row r="26" spans="1:19" ht="23.1" customHeight="1" x14ac:dyDescent="0.3">
      <c r="A26" s="17"/>
      <c r="B26" s="17"/>
      <c r="C26" s="22"/>
      <c r="D26" s="16"/>
      <c r="E26" s="16"/>
      <c r="F26" s="16"/>
      <c r="G26" s="16"/>
      <c r="H26" s="16"/>
      <c r="I26" s="16"/>
      <c r="J26" s="16"/>
      <c r="K26" s="16"/>
      <c r="L26" s="16"/>
      <c r="M26" s="17"/>
    </row>
    <row r="27" spans="1:19" ht="23.1" customHeight="1" x14ac:dyDescent="0.3">
      <c r="A27" s="66" t="s">
        <v>95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13" t="s">
        <v>96</v>
      </c>
    </row>
    <row r="28" spans="1:19" ht="23.1" customHeight="1" x14ac:dyDescent="0.3">
      <c r="A28" s="18" t="s">
        <v>80</v>
      </c>
      <c r="B28" s="19"/>
      <c r="C28" s="20"/>
      <c r="D28" s="21"/>
      <c r="E28" s="21"/>
      <c r="F28" s="21">
        <v>121</v>
      </c>
      <c r="G28" s="21"/>
      <c r="H28" s="21">
        <v>2897</v>
      </c>
      <c r="I28" s="21"/>
      <c r="J28" s="21">
        <v>0</v>
      </c>
      <c r="K28" s="21"/>
      <c r="L28" s="21">
        <v>3018</v>
      </c>
      <c r="M28" s="19"/>
    </row>
    <row r="29" spans="1:19" ht="23.1" customHeight="1" x14ac:dyDescent="0.3">
      <c r="A29" s="17"/>
      <c r="B29" s="17"/>
      <c r="C29" s="22"/>
      <c r="D29" s="16"/>
      <c r="E29" s="16"/>
      <c r="F29" s="16"/>
      <c r="G29" s="16"/>
      <c r="H29" s="16"/>
      <c r="I29" s="16"/>
      <c r="J29" s="16"/>
      <c r="K29" s="16"/>
      <c r="L29" s="16"/>
      <c r="M29" s="17"/>
    </row>
    <row r="30" spans="1:19" ht="23.1" customHeight="1" x14ac:dyDescent="0.3">
      <c r="A30" s="66" t="s">
        <v>97</v>
      </c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13" t="s">
        <v>98</v>
      </c>
    </row>
    <row r="31" spans="1:19" ht="23.1" customHeight="1" x14ac:dyDescent="0.3">
      <c r="A31" s="14" t="s">
        <v>47</v>
      </c>
      <c r="B31" s="14" t="s">
        <v>48</v>
      </c>
      <c r="C31" s="15" t="s">
        <v>49</v>
      </c>
      <c r="D31" s="16">
        <v>1.1000000000000001</v>
      </c>
      <c r="E31" s="16">
        <f>ROUNDDOWN(단가대비표!O11, 0)</f>
        <v>2172</v>
      </c>
      <c r="F31" s="16">
        <f>ROUNDDOWN(D31*E31, 1)</f>
        <v>2389.1999999999998</v>
      </c>
      <c r="G31" s="16">
        <v>0</v>
      </c>
      <c r="H31" s="16">
        <f>ROUNDDOWN(D31*G31, 1)</f>
        <v>0</v>
      </c>
      <c r="I31" s="16">
        <v>0</v>
      </c>
      <c r="J31" s="16">
        <f>ROUNDDOWN(D31*I31, 1)</f>
        <v>0</v>
      </c>
      <c r="K31" s="16">
        <f t="shared" ref="K31:L34" si="2">E31+G31+I31</f>
        <v>2172</v>
      </c>
      <c r="L31" s="16">
        <f t="shared" si="2"/>
        <v>2389.1999999999998</v>
      </c>
      <c r="M31" s="17"/>
      <c r="O31" s="11" t="s">
        <v>83</v>
      </c>
      <c r="P31" s="11" t="s">
        <v>79</v>
      </c>
      <c r="Q31">
        <v>1</v>
      </c>
    </row>
    <row r="32" spans="1:19" ht="23.1" customHeight="1" x14ac:dyDescent="0.3">
      <c r="A32" s="14" t="s">
        <v>84</v>
      </c>
      <c r="B32" s="17" t="str">
        <f>"주재료비의 " &amp; N32*100 &amp; "%"</f>
        <v>주재료비의 5%</v>
      </c>
      <c r="C32" s="15" t="s">
        <v>85</v>
      </c>
      <c r="D32" s="16">
        <v>1</v>
      </c>
      <c r="E32" s="16">
        <f>SUMIF(O31:O34, "01", F31:F34)</f>
        <v>2389.1999999999998</v>
      </c>
      <c r="F32" s="16">
        <f>ROUNDDOWN((E32)*N32, 1)</f>
        <v>119.4</v>
      </c>
      <c r="G32" s="16">
        <v>0</v>
      </c>
      <c r="H32" s="16">
        <v>0</v>
      </c>
      <c r="I32" s="16">
        <v>0</v>
      </c>
      <c r="J32" s="16">
        <v>0</v>
      </c>
      <c r="K32" s="16">
        <f t="shared" si="2"/>
        <v>2389.1999999999998</v>
      </c>
      <c r="L32" s="16">
        <f t="shared" si="2"/>
        <v>119.4</v>
      </c>
      <c r="M32" s="17"/>
      <c r="N32">
        <v>0.05</v>
      </c>
      <c r="P32" s="11" t="s">
        <v>79</v>
      </c>
      <c r="Q32">
        <v>1</v>
      </c>
      <c r="R32" s="11" t="s">
        <v>86</v>
      </c>
      <c r="S32" s="11" t="s">
        <v>87</v>
      </c>
    </row>
    <row r="33" spans="1:19" ht="23.1" customHeight="1" x14ac:dyDescent="0.3">
      <c r="A33" s="14" t="s">
        <v>54</v>
      </c>
      <c r="B33" s="14" t="s">
        <v>52</v>
      </c>
      <c r="C33" s="15" t="s">
        <v>53</v>
      </c>
      <c r="D33" s="16">
        <v>3.5000000000000003E-2</v>
      </c>
      <c r="E33" s="16">
        <v>0</v>
      </c>
      <c r="F33" s="16">
        <f>ROUNDDOWN(D33*E33, 1)</f>
        <v>0</v>
      </c>
      <c r="G33" s="16">
        <f>ROUNDDOWN(단가대비표!O13, 0)</f>
        <v>243538</v>
      </c>
      <c r="H33" s="16">
        <f>ROUNDDOWN(D33*G33, 1)</f>
        <v>8523.7999999999993</v>
      </c>
      <c r="I33" s="16">
        <v>0</v>
      </c>
      <c r="J33" s="16">
        <f>ROUNDDOWN(D33*I33, 1)</f>
        <v>0</v>
      </c>
      <c r="K33" s="16">
        <f t="shared" si="2"/>
        <v>243538</v>
      </c>
      <c r="L33" s="16">
        <f t="shared" si="2"/>
        <v>8523.7999999999993</v>
      </c>
      <c r="M33" s="17"/>
      <c r="O33" s="11" t="s">
        <v>78</v>
      </c>
      <c r="P33" s="11" t="s">
        <v>79</v>
      </c>
      <c r="Q33">
        <v>1</v>
      </c>
    </row>
    <row r="34" spans="1:19" ht="23.1" customHeight="1" x14ac:dyDescent="0.3">
      <c r="A34" s="14" t="s">
        <v>88</v>
      </c>
      <c r="B34" s="17" t="str">
        <f>"인력품의 " &amp; N34*100 &amp; "%"</f>
        <v>인력품의 4%</v>
      </c>
      <c r="C34" s="15" t="s">
        <v>85</v>
      </c>
      <c r="D34" s="16">
        <v>1</v>
      </c>
      <c r="E34" s="16">
        <v>0</v>
      </c>
      <c r="F34" s="16">
        <v>0</v>
      </c>
      <c r="G34" s="16">
        <v>0</v>
      </c>
      <c r="H34" s="16">
        <v>0</v>
      </c>
      <c r="I34" s="16">
        <f>SUMIF(O31:O34, "02", H31:H34)</f>
        <v>8523.7999999999993</v>
      </c>
      <c r="J34" s="16">
        <f>ROUNDDOWN((I34)*N34, 1)</f>
        <v>340.9</v>
      </c>
      <c r="K34" s="16">
        <f t="shared" si="2"/>
        <v>8523.7999999999993</v>
      </c>
      <c r="L34" s="16">
        <f t="shared" si="2"/>
        <v>340.9</v>
      </c>
      <c r="M34" s="17"/>
      <c r="N34">
        <v>0.04</v>
      </c>
      <c r="P34" s="11" t="s">
        <v>79</v>
      </c>
      <c r="Q34">
        <v>1</v>
      </c>
      <c r="R34" s="11" t="s">
        <v>89</v>
      </c>
      <c r="S34" s="11" t="s">
        <v>90</v>
      </c>
    </row>
    <row r="35" spans="1:19" ht="23.1" customHeight="1" x14ac:dyDescent="0.3">
      <c r="A35" s="18" t="s">
        <v>80</v>
      </c>
      <c r="B35" s="19"/>
      <c r="C35" s="20"/>
      <c r="D35" s="21"/>
      <c r="E35" s="21"/>
      <c r="F35" s="21">
        <f>ROUNDDOWN(SUMIF(Q31:Q34, "1", F31:F34), 0)</f>
        <v>2508</v>
      </c>
      <c r="G35" s="21"/>
      <c r="H35" s="21">
        <f>ROUNDDOWN(SUMIF(Q31:Q34, "1", H31:H34), 0)</f>
        <v>8523</v>
      </c>
      <c r="I35" s="21"/>
      <c r="J35" s="21">
        <f>ROUNDDOWN(SUMIF(Q31:Q34, "1", J31:J34), 0)</f>
        <v>340</v>
      </c>
      <c r="K35" s="21"/>
      <c r="L35" s="21">
        <f>F35+H35+J35</f>
        <v>11371</v>
      </c>
      <c r="M35" s="19"/>
    </row>
    <row r="36" spans="1:19" ht="23.1" customHeight="1" x14ac:dyDescent="0.3">
      <c r="A36" s="17"/>
      <c r="B36" s="17"/>
      <c r="C36" s="22"/>
      <c r="D36" s="16"/>
      <c r="E36" s="16"/>
      <c r="F36" s="16"/>
      <c r="G36" s="16"/>
      <c r="H36" s="16"/>
      <c r="I36" s="16"/>
      <c r="J36" s="16"/>
      <c r="K36" s="16"/>
      <c r="L36" s="16"/>
      <c r="M36" s="17"/>
    </row>
    <row r="37" spans="1:19" ht="23.1" customHeight="1" x14ac:dyDescent="0.3">
      <c r="A37" s="66" t="s">
        <v>99</v>
      </c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13" t="s">
        <v>100</v>
      </c>
    </row>
    <row r="38" spans="1:19" ht="23.1" customHeight="1" x14ac:dyDescent="0.3">
      <c r="A38" s="14" t="s">
        <v>56</v>
      </c>
      <c r="B38" s="14" t="s">
        <v>57</v>
      </c>
      <c r="C38" s="15" t="s">
        <v>53</v>
      </c>
      <c r="D38" s="16">
        <v>0.14000000000000001</v>
      </c>
      <c r="E38" s="16">
        <v>0</v>
      </c>
      <c r="F38" s="16">
        <f>ROUNDDOWN(D38*E38, 1)</f>
        <v>0</v>
      </c>
      <c r="G38" s="16">
        <f>ROUNDDOWN(단가대비표!O15, 0)</f>
        <v>294019</v>
      </c>
      <c r="H38" s="16">
        <f>ROUNDDOWN(D38*G38, 1)</f>
        <v>41162.6</v>
      </c>
      <c r="I38" s="16">
        <v>0</v>
      </c>
      <c r="J38" s="16">
        <f>ROUNDDOWN(D38*I38, 1)</f>
        <v>0</v>
      </c>
      <c r="K38" s="16">
        <f t="shared" ref="K38:L40" si="3">E38+G38+I38</f>
        <v>294019</v>
      </c>
      <c r="L38" s="16">
        <f t="shared" si="3"/>
        <v>41162.6</v>
      </c>
      <c r="M38" s="17"/>
      <c r="O38" s="11" t="s">
        <v>78</v>
      </c>
      <c r="P38" s="11" t="s">
        <v>79</v>
      </c>
      <c r="Q38">
        <v>1</v>
      </c>
    </row>
    <row r="39" spans="1:19" ht="23.1" customHeight="1" x14ac:dyDescent="0.3">
      <c r="A39" s="14" t="s">
        <v>58</v>
      </c>
      <c r="B39" s="14" t="s">
        <v>52</v>
      </c>
      <c r="C39" s="15" t="s">
        <v>53</v>
      </c>
      <c r="D39" s="16">
        <v>0.21</v>
      </c>
      <c r="E39" s="16">
        <v>0</v>
      </c>
      <c r="F39" s="16">
        <f>ROUNDDOWN(D39*E39, 1)</f>
        <v>0</v>
      </c>
      <c r="G39" s="16">
        <f>ROUNDDOWN(단가대비표!O16, 0)</f>
        <v>296882</v>
      </c>
      <c r="H39" s="16">
        <f>ROUNDDOWN(D39*G39, 1)</f>
        <v>62345.2</v>
      </c>
      <c r="I39" s="16">
        <v>0</v>
      </c>
      <c r="J39" s="16">
        <f>ROUNDDOWN(D39*I39, 1)</f>
        <v>0</v>
      </c>
      <c r="K39" s="16">
        <f t="shared" si="3"/>
        <v>296882</v>
      </c>
      <c r="L39" s="16">
        <f t="shared" si="3"/>
        <v>62345.2</v>
      </c>
      <c r="M39" s="17"/>
      <c r="O39" s="11" t="s">
        <v>78</v>
      </c>
      <c r="P39" s="11" t="s">
        <v>79</v>
      </c>
      <c r="Q39">
        <v>1</v>
      </c>
    </row>
    <row r="40" spans="1:19" ht="23.1" customHeight="1" x14ac:dyDescent="0.3">
      <c r="A40" s="14" t="s">
        <v>101</v>
      </c>
      <c r="B40" s="17" t="str">
        <f>"인력품의 " &amp; N40*100 &amp; "%"</f>
        <v>인력품의 3%</v>
      </c>
      <c r="C40" s="15" t="s">
        <v>85</v>
      </c>
      <c r="D40" s="16">
        <v>1</v>
      </c>
      <c r="E40" s="16">
        <f>SUMIF(O38:O40, "02", H38:H40)</f>
        <v>103507.79999999999</v>
      </c>
      <c r="F40" s="16">
        <f>ROUNDDOWN((E40)*N40, 1)</f>
        <v>3105.2</v>
      </c>
      <c r="G40" s="16">
        <v>0</v>
      </c>
      <c r="H40" s="16">
        <v>0</v>
      </c>
      <c r="I40" s="16">
        <v>0</v>
      </c>
      <c r="J40" s="16">
        <v>0</v>
      </c>
      <c r="K40" s="16">
        <f t="shared" si="3"/>
        <v>103507.79999999999</v>
      </c>
      <c r="L40" s="16">
        <f t="shared" si="3"/>
        <v>3105.2</v>
      </c>
      <c r="M40" s="17"/>
      <c r="N40">
        <v>0.03</v>
      </c>
      <c r="P40" s="11" t="s">
        <v>79</v>
      </c>
      <c r="Q40">
        <v>1</v>
      </c>
      <c r="R40" s="11" t="s">
        <v>102</v>
      </c>
      <c r="S40" s="11" t="s">
        <v>90</v>
      </c>
    </row>
    <row r="41" spans="1:19" ht="23.1" customHeight="1" x14ac:dyDescent="0.3">
      <c r="A41" s="18" t="s">
        <v>80</v>
      </c>
      <c r="B41" s="19"/>
      <c r="C41" s="20"/>
      <c r="D41" s="21"/>
      <c r="E41" s="21"/>
      <c r="F41" s="21">
        <f>ROUNDDOWN(SUMIF(Q38:Q40, "1", F38:F40), 0)</f>
        <v>3105</v>
      </c>
      <c r="G41" s="21"/>
      <c r="H41" s="21">
        <f>ROUNDDOWN(SUMIF(Q38:Q40, "1", H38:H40), 0)</f>
        <v>103507</v>
      </c>
      <c r="I41" s="21"/>
      <c r="J41" s="21">
        <f>ROUNDDOWN(SUMIF(Q38:Q40, "1", J38:J40), 0)</f>
        <v>0</v>
      </c>
      <c r="K41" s="21"/>
      <c r="L41" s="21">
        <f>F41+H41+J41</f>
        <v>106612</v>
      </c>
      <c r="M41" s="19"/>
    </row>
    <row r="42" spans="1:19" ht="23.1" customHeight="1" x14ac:dyDescent="0.3">
      <c r="A42" s="17"/>
      <c r="B42" s="17"/>
      <c r="C42" s="22"/>
      <c r="D42" s="16"/>
      <c r="E42" s="16"/>
      <c r="F42" s="16"/>
      <c r="G42" s="16"/>
      <c r="H42" s="16"/>
      <c r="I42" s="16"/>
      <c r="J42" s="16"/>
      <c r="K42" s="16"/>
      <c r="L42" s="16"/>
      <c r="M42" s="17"/>
    </row>
    <row r="43" spans="1:19" ht="23.1" customHeight="1" x14ac:dyDescent="0.3">
      <c r="A43" s="17"/>
      <c r="B43" s="17"/>
      <c r="C43" s="22"/>
      <c r="D43" s="16"/>
      <c r="E43" s="16"/>
      <c r="F43" s="16"/>
      <c r="G43" s="16"/>
      <c r="H43" s="16"/>
      <c r="I43" s="16"/>
      <c r="J43" s="16"/>
      <c r="K43" s="16"/>
      <c r="L43" s="16"/>
      <c r="M43" s="17"/>
    </row>
    <row r="44" spans="1:19" ht="23.1" customHeight="1" x14ac:dyDescent="0.3">
      <c r="A44" s="17"/>
      <c r="B44" s="17"/>
      <c r="C44" s="22"/>
      <c r="D44" s="16"/>
      <c r="E44" s="16"/>
      <c r="F44" s="16"/>
      <c r="G44" s="16"/>
      <c r="H44" s="16"/>
      <c r="I44" s="16"/>
      <c r="J44" s="16"/>
      <c r="K44" s="16"/>
      <c r="L44" s="16"/>
      <c r="M44" s="17"/>
    </row>
    <row r="45" spans="1:19" ht="23.1" customHeight="1" x14ac:dyDescent="0.3">
      <c r="A45" s="17"/>
      <c r="B45" s="17"/>
      <c r="C45" s="22"/>
      <c r="D45" s="16"/>
      <c r="E45" s="16"/>
      <c r="F45" s="16"/>
      <c r="G45" s="16"/>
      <c r="H45" s="16"/>
      <c r="I45" s="16"/>
      <c r="J45" s="16"/>
      <c r="K45" s="16"/>
      <c r="L45" s="16"/>
      <c r="M45" s="17"/>
    </row>
    <row r="46" spans="1:19" ht="23.1" customHeight="1" x14ac:dyDescent="0.3">
      <c r="A46" s="17"/>
      <c r="B46" s="17"/>
      <c r="C46" s="22"/>
      <c r="D46" s="16"/>
      <c r="E46" s="16"/>
      <c r="F46" s="16"/>
      <c r="G46" s="16"/>
      <c r="H46" s="16"/>
      <c r="I46" s="16"/>
      <c r="J46" s="16"/>
      <c r="K46" s="16"/>
      <c r="L46" s="16"/>
      <c r="M46" s="17"/>
    </row>
    <row r="47" spans="1:19" ht="23.1" customHeight="1" x14ac:dyDescent="0.3">
      <c r="A47" s="17"/>
      <c r="B47" s="17"/>
      <c r="C47" s="22"/>
      <c r="D47" s="16"/>
      <c r="E47" s="16"/>
      <c r="F47" s="16"/>
      <c r="G47" s="16"/>
      <c r="H47" s="16"/>
      <c r="I47" s="16"/>
      <c r="J47" s="16"/>
      <c r="K47" s="16"/>
      <c r="L47" s="16"/>
      <c r="M47" s="17"/>
    </row>
    <row r="48" spans="1:19" ht="23.1" customHeight="1" x14ac:dyDescent="0.3">
      <c r="A48" s="17"/>
      <c r="B48" s="17"/>
      <c r="C48" s="22"/>
      <c r="D48" s="16"/>
      <c r="E48" s="16"/>
      <c r="F48" s="16"/>
      <c r="G48" s="16"/>
      <c r="H48" s="16"/>
      <c r="I48" s="16"/>
      <c r="J48" s="16"/>
      <c r="K48" s="16"/>
      <c r="L48" s="16"/>
      <c r="M48" s="17"/>
    </row>
    <row r="49" spans="1:13" ht="23.1" customHeight="1" x14ac:dyDescent="0.3">
      <c r="A49" s="17"/>
      <c r="B49" s="17"/>
      <c r="C49" s="22"/>
      <c r="D49" s="16"/>
      <c r="E49" s="16"/>
      <c r="F49" s="16"/>
      <c r="G49" s="16"/>
      <c r="H49" s="16"/>
      <c r="I49" s="16"/>
      <c r="J49" s="16"/>
      <c r="K49" s="16"/>
      <c r="L49" s="16"/>
      <c r="M49" s="17"/>
    </row>
    <row r="50" spans="1:13" ht="23.1" customHeight="1" x14ac:dyDescent="0.3">
      <c r="A50" s="17"/>
      <c r="B50" s="17"/>
      <c r="C50" s="22"/>
      <c r="D50" s="16"/>
      <c r="E50" s="16"/>
      <c r="F50" s="16"/>
      <c r="G50" s="16"/>
      <c r="H50" s="16"/>
      <c r="I50" s="16"/>
      <c r="J50" s="16"/>
      <c r="K50" s="16"/>
      <c r="L50" s="16"/>
      <c r="M50" s="17"/>
    </row>
    <row r="51" spans="1:13" ht="23.1" customHeight="1" x14ac:dyDescent="0.3">
      <c r="A51" s="17"/>
      <c r="B51" s="17"/>
      <c r="C51" s="22"/>
      <c r="D51" s="16"/>
      <c r="E51" s="16"/>
      <c r="F51" s="16"/>
      <c r="G51" s="16"/>
      <c r="H51" s="16"/>
      <c r="I51" s="16"/>
      <c r="J51" s="16"/>
      <c r="K51" s="16"/>
      <c r="L51" s="16"/>
      <c r="M51" s="17"/>
    </row>
    <row r="52" spans="1:13" ht="23.1" customHeight="1" x14ac:dyDescent="0.3">
      <c r="A52" s="17"/>
      <c r="B52" s="17"/>
      <c r="C52" s="22"/>
      <c r="D52" s="16"/>
      <c r="E52" s="16"/>
      <c r="F52" s="16"/>
      <c r="G52" s="16"/>
      <c r="H52" s="16"/>
      <c r="I52" s="16"/>
      <c r="J52" s="16"/>
      <c r="K52" s="16"/>
      <c r="L52" s="16"/>
      <c r="M52" s="17"/>
    </row>
  </sheetData>
  <mergeCells count="18">
    <mergeCell ref="A30:L30"/>
    <mergeCell ref="A37:L37"/>
    <mergeCell ref="K3:L3"/>
    <mergeCell ref="A5:L5"/>
    <mergeCell ref="A9:L9"/>
    <mergeCell ref="A17:L17"/>
    <mergeCell ref="A24:L24"/>
    <mergeCell ref="A27:L27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</mergeCells>
  <phoneticPr fontId="1" type="noConversion"/>
  <conditionalFormatting sqref="A5 M5 A6:M52">
    <cfRule type="containsText" dxfId="3" priority="1" stopIfTrue="1" operator="containsText" text=".">
      <formula>NOT(ISERROR(SEARCH(".",A5)))</formula>
    </cfRule>
    <cfRule type="notContainsText" dxfId="2" priority="2" stopIfTrue="1" operator="notContains" text=".">
      <formula>ISERROR(SEARCH(".",A5))</formula>
    </cfRule>
  </conditionalFormatting>
  <pageMargins left="0.7765515531031062" right="0" top="0.57970115940231881" bottom="0.1388888888888889" header="0.3" footer="0.1388888888888889"/>
  <pageSetup paperSize="9" orientation="landscape" verticalDpi="0" r:id="rId1"/>
  <rowBreaks count="3" manualBreakCount="3">
    <brk id="20" max="16383" man="1"/>
    <brk id="36" max="16383" man="1"/>
    <brk id="5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B7"/>
  </sheetPr>
  <dimension ref="A1:P20"/>
  <sheetViews>
    <sheetView zoomScale="140" zoomScaleNormal="14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P1"/>
    </sheetView>
  </sheetViews>
  <sheetFormatPr defaultRowHeight="16.5" x14ac:dyDescent="0.3"/>
  <cols>
    <col min="1" max="2" width="17.625" style="1" customWidth="1"/>
    <col min="3" max="3" width="3.625" style="2" customWidth="1"/>
    <col min="4" max="4" width="6.625" style="3" customWidth="1"/>
    <col min="5" max="5" width="4.625" style="3" customWidth="1"/>
    <col min="6" max="6" width="6.625" style="3" customWidth="1"/>
    <col min="7" max="7" width="4.625" style="3" customWidth="1"/>
    <col min="8" max="9" width="6.625" style="3" customWidth="1"/>
    <col min="10" max="10" width="4.625" style="3" customWidth="1"/>
    <col min="11" max="11" width="6.625" style="3" customWidth="1"/>
    <col min="12" max="12" width="4.625" style="3" customWidth="1"/>
    <col min="13" max="14" width="6.625" style="3" customWidth="1"/>
    <col min="15" max="15" width="7.625" style="3" customWidth="1"/>
    <col min="16" max="16" width="7.625" style="1" customWidth="1"/>
  </cols>
  <sheetData>
    <row r="1" spans="1:16" ht="30" customHeight="1" x14ac:dyDescent="0.3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16" ht="23.1" customHeight="1" x14ac:dyDescent="0.3">
      <c r="A2" s="47" t="s">
        <v>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</row>
    <row r="3" spans="1:16" ht="23.1" customHeight="1" x14ac:dyDescent="0.3">
      <c r="A3" s="71" t="s">
        <v>2</v>
      </c>
      <c r="B3" s="71" t="s">
        <v>3</v>
      </c>
      <c r="C3" s="71" t="s">
        <v>4</v>
      </c>
      <c r="D3" s="71" t="s">
        <v>5</v>
      </c>
      <c r="E3" s="71"/>
      <c r="F3" s="71" t="s">
        <v>6</v>
      </c>
      <c r="G3" s="71"/>
      <c r="H3" s="4" t="s">
        <v>7</v>
      </c>
      <c r="I3" s="71" t="s">
        <v>8</v>
      </c>
      <c r="J3" s="71"/>
      <c r="K3" s="71" t="s">
        <v>9</v>
      </c>
      <c r="L3" s="71"/>
      <c r="M3" s="4" t="s">
        <v>10</v>
      </c>
      <c r="N3" s="4" t="s">
        <v>11</v>
      </c>
      <c r="O3" s="71" t="s">
        <v>12</v>
      </c>
      <c r="P3" s="71" t="s">
        <v>13</v>
      </c>
    </row>
    <row r="4" spans="1:16" ht="23.1" customHeight="1" x14ac:dyDescent="0.3">
      <c r="A4" s="71"/>
      <c r="B4" s="71"/>
      <c r="C4" s="71"/>
      <c r="D4" s="4" t="s">
        <v>14</v>
      </c>
      <c r="E4" s="4" t="s">
        <v>15</v>
      </c>
      <c r="F4" s="4" t="s">
        <v>14</v>
      </c>
      <c r="G4" s="4" t="s">
        <v>15</v>
      </c>
      <c r="H4" s="4" t="s">
        <v>14</v>
      </c>
      <c r="I4" s="4" t="s">
        <v>14</v>
      </c>
      <c r="J4" s="4" t="s">
        <v>15</v>
      </c>
      <c r="K4" s="4" t="s">
        <v>14</v>
      </c>
      <c r="L4" s="4" t="s">
        <v>15</v>
      </c>
      <c r="M4" s="4" t="s">
        <v>14</v>
      </c>
      <c r="N4" s="4" t="s">
        <v>14</v>
      </c>
      <c r="O4" s="71"/>
      <c r="P4" s="71"/>
    </row>
    <row r="5" spans="1:16" ht="23.1" customHeight="1" x14ac:dyDescent="0.3">
      <c r="A5" s="5" t="s">
        <v>16</v>
      </c>
      <c r="B5" s="5" t="s">
        <v>17</v>
      </c>
      <c r="C5" s="6" t="s">
        <v>18</v>
      </c>
      <c r="D5" s="7">
        <v>2400</v>
      </c>
      <c r="E5" s="8" t="s">
        <v>19</v>
      </c>
      <c r="F5" s="7">
        <v>2790</v>
      </c>
      <c r="G5" s="8" t="s">
        <v>20</v>
      </c>
      <c r="H5" s="7">
        <v>1758</v>
      </c>
      <c r="I5" s="7">
        <v>1820</v>
      </c>
      <c r="J5" s="8" t="s">
        <v>21</v>
      </c>
      <c r="K5" s="7">
        <v>2059</v>
      </c>
      <c r="L5" s="8" t="s">
        <v>22</v>
      </c>
      <c r="M5" s="7"/>
      <c r="N5" s="7"/>
      <c r="O5" s="7">
        <f t="shared" ref="O5:O11" si="0">MIN(D5,F5,H5,I5,K5,M5,N5)</f>
        <v>1758</v>
      </c>
      <c r="P5" s="9"/>
    </row>
    <row r="6" spans="1:16" ht="23.1" customHeight="1" x14ac:dyDescent="0.3">
      <c r="A6" s="5" t="s">
        <v>23</v>
      </c>
      <c r="B6" s="5" t="s">
        <v>24</v>
      </c>
      <c r="C6" s="6" t="s">
        <v>25</v>
      </c>
      <c r="D6" s="7">
        <v>53000</v>
      </c>
      <c r="E6" s="8" t="s">
        <v>26</v>
      </c>
      <c r="F6" s="7"/>
      <c r="G6" s="7"/>
      <c r="H6" s="7"/>
      <c r="I6" s="7"/>
      <c r="J6" s="7"/>
      <c r="K6" s="7"/>
      <c r="L6" s="7"/>
      <c r="M6" s="7"/>
      <c r="N6" s="7"/>
      <c r="O6" s="7">
        <f t="shared" si="0"/>
        <v>53000</v>
      </c>
      <c r="P6" s="9"/>
    </row>
    <row r="7" spans="1:16" ht="23.1" customHeight="1" x14ac:dyDescent="0.3">
      <c r="A7" s="5" t="s">
        <v>23</v>
      </c>
      <c r="B7" s="5" t="s">
        <v>27</v>
      </c>
      <c r="C7" s="6" t="s">
        <v>28</v>
      </c>
      <c r="D7" s="7">
        <v>150000</v>
      </c>
      <c r="E7" s="8" t="s">
        <v>29</v>
      </c>
      <c r="F7" s="7"/>
      <c r="G7" s="7"/>
      <c r="H7" s="7"/>
      <c r="I7" s="7"/>
      <c r="J7" s="7"/>
      <c r="K7" s="7"/>
      <c r="L7" s="7"/>
      <c r="M7" s="7"/>
      <c r="N7" s="7"/>
      <c r="O7" s="7">
        <f t="shared" si="0"/>
        <v>150000</v>
      </c>
      <c r="P7" s="9"/>
    </row>
    <row r="8" spans="1:16" ht="23.1" customHeight="1" x14ac:dyDescent="0.3">
      <c r="A8" s="5" t="s">
        <v>30</v>
      </c>
      <c r="B8" s="5" t="s">
        <v>31</v>
      </c>
      <c r="C8" s="6" t="s">
        <v>32</v>
      </c>
      <c r="D8" s="7">
        <v>4700</v>
      </c>
      <c r="E8" s="8" t="s">
        <v>33</v>
      </c>
      <c r="F8" s="7">
        <v>5000</v>
      </c>
      <c r="G8" s="8" t="s">
        <v>34</v>
      </c>
      <c r="H8" s="7">
        <v>4700</v>
      </c>
      <c r="I8" s="7">
        <v>4700</v>
      </c>
      <c r="J8" s="8" t="s">
        <v>35</v>
      </c>
      <c r="K8" s="7">
        <v>5148</v>
      </c>
      <c r="L8" s="8" t="s">
        <v>36</v>
      </c>
      <c r="M8" s="7"/>
      <c r="N8" s="7"/>
      <c r="O8" s="7">
        <f t="shared" si="0"/>
        <v>4700</v>
      </c>
      <c r="P8" s="9"/>
    </row>
    <row r="9" spans="1:16" ht="23.1" customHeight="1" x14ac:dyDescent="0.3">
      <c r="A9" s="5" t="s">
        <v>37</v>
      </c>
      <c r="B9" s="5" t="s">
        <v>38</v>
      </c>
      <c r="C9" s="6" t="s">
        <v>28</v>
      </c>
      <c r="D9" s="7"/>
      <c r="E9" s="7"/>
      <c r="F9" s="7">
        <v>38000</v>
      </c>
      <c r="G9" s="8" t="s">
        <v>39</v>
      </c>
      <c r="H9" s="7"/>
      <c r="I9" s="7">
        <v>38000</v>
      </c>
      <c r="J9" s="8" t="s">
        <v>40</v>
      </c>
      <c r="K9" s="7"/>
      <c r="L9" s="7"/>
      <c r="M9" s="7"/>
      <c r="N9" s="7"/>
      <c r="O9" s="7">
        <f t="shared" si="0"/>
        <v>38000</v>
      </c>
      <c r="P9" s="9"/>
    </row>
    <row r="10" spans="1:16" ht="23.1" customHeight="1" x14ac:dyDescent="0.3">
      <c r="A10" s="5" t="s">
        <v>41</v>
      </c>
      <c r="B10" s="5" t="s">
        <v>42</v>
      </c>
      <c r="C10" s="6" t="s">
        <v>43</v>
      </c>
      <c r="D10" s="7">
        <v>5475</v>
      </c>
      <c r="E10" s="8" t="s">
        <v>44</v>
      </c>
      <c r="F10" s="7">
        <v>5408</v>
      </c>
      <c r="G10" s="8" t="s">
        <v>34</v>
      </c>
      <c r="H10" s="7">
        <v>4679</v>
      </c>
      <c r="I10" s="7">
        <v>6281</v>
      </c>
      <c r="J10" s="8" t="s">
        <v>45</v>
      </c>
      <c r="K10" s="7">
        <v>5307</v>
      </c>
      <c r="L10" s="8" t="s">
        <v>46</v>
      </c>
      <c r="M10" s="7"/>
      <c r="N10" s="7"/>
      <c r="O10" s="7">
        <f t="shared" si="0"/>
        <v>4679</v>
      </c>
      <c r="P10" s="9"/>
    </row>
    <row r="11" spans="1:16" ht="23.1" customHeight="1" x14ac:dyDescent="0.3">
      <c r="A11" s="5" t="s">
        <v>47</v>
      </c>
      <c r="B11" s="5" t="s">
        <v>48</v>
      </c>
      <c r="C11" s="6" t="s">
        <v>49</v>
      </c>
      <c r="D11" s="7">
        <v>2172</v>
      </c>
      <c r="E11" s="8" t="s">
        <v>50</v>
      </c>
      <c r="F11" s="7"/>
      <c r="G11" s="7"/>
      <c r="H11" s="7"/>
      <c r="I11" s="7"/>
      <c r="J11" s="7"/>
      <c r="K11" s="7"/>
      <c r="L11" s="7"/>
      <c r="M11" s="7"/>
      <c r="N11" s="7"/>
      <c r="O11" s="7">
        <f t="shared" si="0"/>
        <v>2172</v>
      </c>
      <c r="P11" s="9"/>
    </row>
    <row r="12" spans="1:16" ht="23.1" customHeight="1" x14ac:dyDescent="0.3">
      <c r="A12" s="5" t="s">
        <v>51</v>
      </c>
      <c r="B12" s="5" t="s">
        <v>52</v>
      </c>
      <c r="C12" s="6" t="s">
        <v>53</v>
      </c>
      <c r="D12" s="7"/>
      <c r="E12" s="7"/>
      <c r="F12" s="7"/>
      <c r="G12" s="7"/>
      <c r="H12" s="7"/>
      <c r="I12" s="7"/>
      <c r="J12" s="7"/>
      <c r="K12" s="7"/>
      <c r="L12" s="7"/>
      <c r="M12" s="7">
        <v>268058</v>
      </c>
      <c r="N12" s="7"/>
      <c r="O12" s="7">
        <f>M12</f>
        <v>268058</v>
      </c>
      <c r="P12" s="9"/>
    </row>
    <row r="13" spans="1:16" ht="23.1" customHeight="1" x14ac:dyDescent="0.3">
      <c r="A13" s="5" t="s">
        <v>54</v>
      </c>
      <c r="B13" s="5" t="s">
        <v>52</v>
      </c>
      <c r="C13" s="6" t="s">
        <v>53</v>
      </c>
      <c r="D13" s="7"/>
      <c r="E13" s="7"/>
      <c r="F13" s="7"/>
      <c r="G13" s="7"/>
      <c r="H13" s="7"/>
      <c r="I13" s="7"/>
      <c r="J13" s="7"/>
      <c r="K13" s="7"/>
      <c r="L13" s="7"/>
      <c r="M13" s="7">
        <v>243538</v>
      </c>
      <c r="N13" s="7"/>
      <c r="O13" s="7">
        <f>M13</f>
        <v>243538</v>
      </c>
      <c r="P13" s="9"/>
    </row>
    <row r="14" spans="1:16" ht="23.1" customHeight="1" x14ac:dyDescent="0.3">
      <c r="A14" s="5" t="s">
        <v>55</v>
      </c>
      <c r="B14" s="5" t="s">
        <v>52</v>
      </c>
      <c r="C14" s="6" t="s">
        <v>53</v>
      </c>
      <c r="D14" s="7"/>
      <c r="E14" s="7"/>
      <c r="F14" s="7"/>
      <c r="G14" s="7"/>
      <c r="H14" s="7"/>
      <c r="I14" s="7"/>
      <c r="J14" s="7"/>
      <c r="K14" s="7"/>
      <c r="L14" s="7"/>
      <c r="M14" s="7">
        <v>165545</v>
      </c>
      <c r="N14" s="7"/>
      <c r="O14" s="7">
        <f>M14</f>
        <v>165545</v>
      </c>
      <c r="P14" s="9"/>
    </row>
    <row r="15" spans="1:16" ht="23.1" customHeight="1" x14ac:dyDescent="0.3">
      <c r="A15" s="5" t="s">
        <v>56</v>
      </c>
      <c r="B15" s="5" t="s">
        <v>57</v>
      </c>
      <c r="C15" s="6" t="s">
        <v>53</v>
      </c>
      <c r="D15" s="7"/>
      <c r="E15" s="7"/>
      <c r="F15" s="7"/>
      <c r="G15" s="7"/>
      <c r="H15" s="7"/>
      <c r="I15" s="7"/>
      <c r="J15" s="7"/>
      <c r="K15" s="7"/>
      <c r="L15" s="7"/>
      <c r="M15" s="7">
        <v>294019</v>
      </c>
      <c r="N15" s="7"/>
      <c r="O15" s="7">
        <f>M15</f>
        <v>294019</v>
      </c>
      <c r="P15" s="9"/>
    </row>
    <row r="16" spans="1:16" ht="23.1" customHeight="1" x14ac:dyDescent="0.3">
      <c r="A16" s="5" t="s">
        <v>58</v>
      </c>
      <c r="B16" s="5" t="s">
        <v>52</v>
      </c>
      <c r="C16" s="6" t="s">
        <v>53</v>
      </c>
      <c r="D16" s="7"/>
      <c r="E16" s="7"/>
      <c r="F16" s="7"/>
      <c r="G16" s="7"/>
      <c r="H16" s="7"/>
      <c r="I16" s="7"/>
      <c r="J16" s="7"/>
      <c r="K16" s="7"/>
      <c r="L16" s="7"/>
      <c r="M16" s="7">
        <v>296882</v>
      </c>
      <c r="N16" s="7"/>
      <c r="O16" s="7">
        <f>M16</f>
        <v>296882</v>
      </c>
      <c r="P16" s="9"/>
    </row>
    <row r="17" spans="1:16" ht="23.1" customHeight="1" x14ac:dyDescent="0.3">
      <c r="A17" s="9"/>
      <c r="B17" s="9"/>
      <c r="C17" s="10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9"/>
    </row>
    <row r="18" spans="1:16" ht="23.1" customHeight="1" x14ac:dyDescent="0.3">
      <c r="A18" s="9"/>
      <c r="B18" s="9"/>
      <c r="C18" s="10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9"/>
    </row>
    <row r="19" spans="1:16" ht="23.1" customHeight="1" x14ac:dyDescent="0.3">
      <c r="A19" s="9"/>
      <c r="B19" s="9"/>
      <c r="C19" s="10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9"/>
    </row>
    <row r="20" spans="1:16" ht="23.1" customHeight="1" x14ac:dyDescent="0.3">
      <c r="A20" s="9"/>
      <c r="B20" s="9"/>
      <c r="C20" s="10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9"/>
    </row>
  </sheetData>
  <mergeCells count="11">
    <mergeCell ref="K3:L3"/>
    <mergeCell ref="A1:P1"/>
    <mergeCell ref="A2:P2"/>
    <mergeCell ref="A3:A4"/>
    <mergeCell ref="B3:B4"/>
    <mergeCell ref="C3:C4"/>
    <mergeCell ref="O3:O4"/>
    <mergeCell ref="P3:P4"/>
    <mergeCell ref="D3:E3"/>
    <mergeCell ref="F3:G3"/>
    <mergeCell ref="I3:J3"/>
  </mergeCells>
  <phoneticPr fontId="1" type="noConversion"/>
  <conditionalFormatting sqref="A5:P20">
    <cfRule type="containsText" dxfId="1" priority="1" stopIfTrue="1" operator="containsText" text=".">
      <formula>NOT(ISERROR(SEARCH(".",A5)))</formula>
    </cfRule>
    <cfRule type="notContainsText" dxfId="0" priority="2" stopIfTrue="1" operator="notContains" text=".">
      <formula>ISERROR(SEARCH(".",A5))</formula>
    </cfRule>
  </conditionalFormatting>
  <pageMargins left="0.7765515531031062" right="0" top="0.57970115940231881" bottom="0.1388888888888889" header="0.3" footer="0.1388888888888889"/>
  <pageSetup paperSize="9" orientation="landscape" verticalDpi="0" r:id="rId1"/>
  <rowBreaks count="1" manualBreakCount="1">
    <brk id="2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12</vt:i4>
      </vt:variant>
    </vt:vector>
  </HeadingPairs>
  <TitlesOfParts>
    <vt:vector size="20" baseType="lpstr">
      <vt:lpstr>갑지</vt:lpstr>
      <vt:lpstr>원가계산서</vt:lpstr>
      <vt:lpstr>집계표</vt:lpstr>
      <vt:lpstr>내역서</vt:lpstr>
      <vt:lpstr>일위대가목록</vt:lpstr>
      <vt:lpstr>일위대가표</vt:lpstr>
      <vt:lpstr>단가대비표</vt:lpstr>
      <vt:lpstr>Sheet1</vt:lpstr>
      <vt:lpstr>내역서!Print_Area</vt:lpstr>
      <vt:lpstr>단가대비표!Print_Area</vt:lpstr>
      <vt:lpstr>원가계산서!Print_Area</vt:lpstr>
      <vt:lpstr>일위대가목록!Print_Area</vt:lpstr>
      <vt:lpstr>일위대가표!Print_Area</vt:lpstr>
      <vt:lpstr>집계표!Print_Area</vt:lpstr>
      <vt:lpstr>내역서!Print_Titles</vt:lpstr>
      <vt:lpstr>단가대비표!Print_Titles</vt:lpstr>
      <vt:lpstr>원가계산서!Print_Titles</vt:lpstr>
      <vt:lpstr>일위대가목록!Print_Titles</vt:lpstr>
      <vt:lpstr>일위대가표!Print_Titles</vt:lpstr>
      <vt:lpstr>집계표!Print_Titles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2024-07-03T05:46:41Z</dcterms:created>
  <dcterms:modified xsi:type="dcterms:W3CDTF">2024-07-08T01:38:27Z</dcterms:modified>
</cp:coreProperties>
</file>